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X:\Project Management\England North\Leeds\NCN &amp; Links to Schools\Queensbury_Tunnel_Feas_Study\1 CURRENT DRAFT\Second Draft Issued October 2022\App E - Cost estimates and design schedule_CHECK\"/>
    </mc:Choice>
  </mc:AlternateContent>
  <xr:revisionPtr revIDLastSave="0" documentId="13_ncr:1_{D66C8260-3CEE-4DB6-8C70-FE158CE9D3C4}" xr6:coauthVersionLast="47" xr6:coauthVersionMax="47" xr10:uidLastSave="{00000000-0000-0000-0000-000000000000}"/>
  <bookViews>
    <workbookView xWindow="-28920" yWindow="-30" windowWidth="29040" windowHeight="15840" tabRatio="944" activeTab="2" xr2:uid="{00000000-000D-0000-FFFF-FFFF00000000}"/>
  </bookViews>
  <sheets>
    <sheet name="Lists" sheetId="2" r:id="rId1"/>
    <sheet name="Design Schedule" sheetId="1" r:id="rId2"/>
    <sheet name="Scheme Costs " sheetId="39" r:id="rId3"/>
    <sheet name="Uncontrolled crossing" sheetId="19" r:id="rId4"/>
    <sheet name="Controlled Crossing" sheetId="3" r:id="rId5"/>
    <sheet name="Controlled Crossing (Separated)" sheetId="4" r:id="rId6"/>
    <sheet name="Zebra Crossing" sheetId="5" r:id="rId7"/>
    <sheet name="Zebra Crossing (Separated)" sheetId="6" r:id="rId8"/>
    <sheet name="3m Wide Shared Path" sheetId="7" r:id="rId9"/>
    <sheet name="4.5m Wide Shared Path" sheetId="8" r:id="rId10"/>
    <sheet name="5m Wide Shared Path" sheetId="38" r:id="rId11"/>
    <sheet name="One-way light Seperated Tracks" sheetId="10" r:id="rId12"/>
    <sheet name="Bi directional Kerb Separated" sheetId="20" r:id="rId13"/>
    <sheet name="One-way Kerb Separated" sheetId="21" r:id="rId14"/>
    <sheet name="Mixed Traffic Environment" sheetId="22" r:id="rId15"/>
    <sheet name="Trotting Strip" sheetId="11" r:id="rId16"/>
    <sheet name="Resurfacing" sheetId="12" r:id="rId17"/>
    <sheet name="Fencing" sheetId="13" r:id="rId18"/>
    <sheet name="Modal Filter" sheetId="14" r:id="rId19"/>
    <sheet name="Street Lighting" sheetId="15" r:id="rId20"/>
    <sheet name="Street Lighting Bollards" sheetId="16" r:id="rId21"/>
    <sheet name="Bus Gate" sheetId="17" r:id="rId22"/>
    <sheet name="Shared Path" sheetId="23" r:id="rId23"/>
    <sheet name="Improve Existing Traffic Free" sheetId="24" r:id="rId24"/>
    <sheet name="Earthworks Ramp" sheetId="18" r:id="rId25"/>
    <sheet name="3m Wide Shared Path on slope" sheetId="25" r:id="rId26"/>
    <sheet name="Wayfinding Signage" sheetId="26" r:id="rId27"/>
    <sheet name="Security (Tunnels)" sheetId="27" r:id="rId28"/>
    <sheet name="Tunnel Works" sheetId="30" r:id="rId29"/>
    <sheet name="4m Wide Shared Tunnel Path" sheetId="31" r:id="rId30"/>
    <sheet name="Maintenance" sheetId="33" r:id="rId31"/>
  </sheets>
  <externalReferences>
    <externalReference r:id="rId32"/>
  </externalReferences>
  <definedNames>
    <definedName name="_xlnm._FilterDatabase" localSheetId="1" hidden="1">'Design Schedule'!$A$3:$BP$212</definedName>
    <definedName name="_xlnm.Print_Area" localSheetId="8">'3m Wide Shared Path'!$A$1:$B$10</definedName>
    <definedName name="_xlnm.Print_Area" localSheetId="25">'3m Wide Shared Path on slope'!$A$1:$B$10</definedName>
    <definedName name="_xlnm.Print_Area" localSheetId="9">'4.5m Wide Shared Path'!$A$1:$B$10</definedName>
    <definedName name="_xlnm.Print_Area" localSheetId="29">'4m Wide Shared Tunnel Path'!$A$1:$B$10</definedName>
    <definedName name="_xlnm.Print_Area" localSheetId="10">'5m Wide Shared Path'!$A$1:$B$10</definedName>
    <definedName name="_xlnm.Print_Area" localSheetId="12">'Bi directional Kerb Separated'!$A$1:$B$10</definedName>
    <definedName name="_xlnm.Print_Area" localSheetId="21">'Bus Gate'!$A$1:$B$10</definedName>
    <definedName name="_xlnm.Print_Area" localSheetId="4">'Controlled Crossing'!$A$1:$B$10</definedName>
    <definedName name="_xlnm.Print_Area" localSheetId="5">'Controlled Crossing (Separated)'!$A$1:$B$10</definedName>
    <definedName name="_xlnm.Print_Area" localSheetId="1">'Design Schedule'!$A$2:$BN$25</definedName>
    <definedName name="_xlnm.Print_Area" localSheetId="24">'Earthworks Ramp'!$A$1:$B$10</definedName>
    <definedName name="_xlnm.Print_Area" localSheetId="17">Fencing!$A$1:$B$10</definedName>
    <definedName name="_xlnm.Print_Area" localSheetId="23">'Improve Existing Traffic Free'!$A$1:$B$10</definedName>
    <definedName name="_xlnm.Print_Area" localSheetId="30">Maintenance!$A$1:$B$17</definedName>
    <definedName name="_xlnm.Print_Area" localSheetId="14">'Mixed Traffic Environment'!$A$1:$B$10</definedName>
    <definedName name="_xlnm.Print_Area" localSheetId="18">'Modal Filter'!$A$1:$B$10</definedName>
    <definedName name="_xlnm.Print_Area" localSheetId="13">'One-way Kerb Separated'!$A$1:$B$10</definedName>
    <definedName name="_xlnm.Print_Area" localSheetId="11">'One-way light Seperated Tracks'!$A$1:$B$10</definedName>
    <definedName name="_xlnm.Print_Area" localSheetId="16">Resurfacing!$A$1:$B$10</definedName>
    <definedName name="_xlnm.Print_Area" localSheetId="27">'Security (Tunnels)'!$A$1:$B$10</definedName>
    <definedName name="_xlnm.Print_Area" localSheetId="22">'Shared Path'!$A$1:$B$10</definedName>
    <definedName name="_xlnm.Print_Area" localSheetId="19">'Street Lighting'!$A$1:$B$10</definedName>
    <definedName name="_xlnm.Print_Area" localSheetId="20">'Street Lighting Bollards'!$A$1:$B$10</definedName>
    <definedName name="_xlnm.Print_Area" localSheetId="15">'Trotting Strip'!$A$1:$B$10</definedName>
    <definedName name="_xlnm.Print_Area" localSheetId="28">'Tunnel Works'!$A$1:$B$10</definedName>
    <definedName name="_xlnm.Print_Area" localSheetId="3">'Uncontrolled crossing'!$A$1:$B$10</definedName>
    <definedName name="_xlnm.Print_Area" localSheetId="26">'Wayfinding Signage'!$A$1:$B$10</definedName>
    <definedName name="_xlnm.Print_Area" localSheetId="6">'Zebra Crossing'!$A$1:$B$10</definedName>
    <definedName name="_xlnm.Print_Area" localSheetId="7">'Zebra Crossing (Separated)'!$A$1:$B$10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1" i="39" l="1"/>
  <c r="K61" i="39"/>
  <c r="I61" i="39"/>
  <c r="E61" i="39"/>
  <c r="C61" i="39"/>
  <c r="M60" i="39"/>
  <c r="I60" i="39"/>
  <c r="G60" i="39"/>
  <c r="G62" i="39" s="1"/>
  <c r="E60" i="39"/>
  <c r="N59" i="39"/>
  <c r="M59" i="39"/>
  <c r="M62" i="39" s="1"/>
  <c r="L59" i="39"/>
  <c r="K59" i="39"/>
  <c r="J59" i="39"/>
  <c r="I59" i="39"/>
  <c r="I62" i="39" s="1"/>
  <c r="H59" i="39"/>
  <c r="G59" i="39"/>
  <c r="F59" i="39"/>
  <c r="E59" i="39"/>
  <c r="E62" i="39" s="1"/>
  <c r="D59" i="39"/>
  <c r="C59" i="39"/>
  <c r="L48" i="39"/>
  <c r="L55" i="39" s="1"/>
  <c r="D48" i="39"/>
  <c r="D55" i="39" s="1"/>
  <c r="N47" i="39"/>
  <c r="M47" i="39"/>
  <c r="L47" i="39"/>
  <c r="J47" i="39"/>
  <c r="I47" i="39"/>
  <c r="H47" i="39"/>
  <c r="F47" i="39"/>
  <c r="E47" i="39"/>
  <c r="D47" i="39"/>
  <c r="N46" i="39"/>
  <c r="M46" i="39"/>
  <c r="L46" i="39"/>
  <c r="K46" i="39"/>
  <c r="J46" i="39"/>
  <c r="I46" i="39"/>
  <c r="H46" i="39"/>
  <c r="G46" i="39"/>
  <c r="F46" i="39"/>
  <c r="E46" i="39"/>
  <c r="D46" i="39"/>
  <c r="C46" i="39"/>
  <c r="N45" i="39"/>
  <c r="N48" i="39" s="1"/>
  <c r="N55" i="39" s="1"/>
  <c r="M45" i="39"/>
  <c r="M48" i="39" s="1"/>
  <c r="M55" i="39" s="1"/>
  <c r="L45" i="39"/>
  <c r="J45" i="39"/>
  <c r="J48" i="39" s="1"/>
  <c r="J55" i="39" s="1"/>
  <c r="I45" i="39"/>
  <c r="I48" i="39" s="1"/>
  <c r="I55" i="39" s="1"/>
  <c r="H45" i="39"/>
  <c r="H48" i="39" s="1"/>
  <c r="H55" i="39" s="1"/>
  <c r="F45" i="39"/>
  <c r="F48" i="39" s="1"/>
  <c r="F55" i="39" s="1"/>
  <c r="E45" i="39"/>
  <c r="E48" i="39" s="1"/>
  <c r="E55" i="39" s="1"/>
  <c r="D45" i="39"/>
  <c r="M43" i="39"/>
  <c r="I43" i="39"/>
  <c r="E43" i="39"/>
  <c r="B43" i="39"/>
  <c r="M42" i="39"/>
  <c r="I42" i="39"/>
  <c r="E42" i="39"/>
  <c r="B42" i="39"/>
  <c r="M41" i="39"/>
  <c r="I41" i="39"/>
  <c r="E41" i="39"/>
  <c r="B41" i="39"/>
  <c r="M40" i="39"/>
  <c r="I40" i="39"/>
  <c r="G40" i="39"/>
  <c r="E40" i="39"/>
  <c r="B40" i="39"/>
  <c r="M39" i="39"/>
  <c r="L39" i="39"/>
  <c r="I39" i="39"/>
  <c r="E39" i="39"/>
  <c r="D39" i="39"/>
  <c r="B39" i="39"/>
  <c r="M38" i="39"/>
  <c r="M44" i="39" s="1"/>
  <c r="M54" i="39" s="1"/>
  <c r="I38" i="39"/>
  <c r="I44" i="39" s="1"/>
  <c r="I54" i="39" s="1"/>
  <c r="E38" i="39"/>
  <c r="E44" i="39" s="1"/>
  <c r="E54" i="39" s="1"/>
  <c r="M35" i="39"/>
  <c r="I35" i="39"/>
  <c r="E35" i="39"/>
  <c r="B35" i="39"/>
  <c r="M34" i="39"/>
  <c r="I34" i="39"/>
  <c r="E34" i="39"/>
  <c r="B34" i="39"/>
  <c r="M33" i="39"/>
  <c r="K33" i="39"/>
  <c r="I33" i="39"/>
  <c r="E33" i="39"/>
  <c r="C33" i="39"/>
  <c r="B33" i="39"/>
  <c r="M32" i="39"/>
  <c r="I32" i="39"/>
  <c r="E32" i="39"/>
  <c r="B32" i="39"/>
  <c r="M31" i="39"/>
  <c r="M36" i="39" s="1"/>
  <c r="I31" i="39"/>
  <c r="E31" i="39"/>
  <c r="E36" i="39" s="1"/>
  <c r="B31" i="39"/>
  <c r="M30" i="39"/>
  <c r="J30" i="39"/>
  <c r="I30" i="39"/>
  <c r="I36" i="39" s="1"/>
  <c r="E30" i="39"/>
  <c r="N27" i="39"/>
  <c r="M27" i="39"/>
  <c r="L27" i="39"/>
  <c r="K27" i="39"/>
  <c r="J27" i="39"/>
  <c r="I27" i="39"/>
  <c r="H27" i="39"/>
  <c r="G27" i="39"/>
  <c r="F27" i="39"/>
  <c r="E27" i="39"/>
  <c r="D27" i="39"/>
  <c r="C27" i="39"/>
  <c r="U13" i="39"/>
  <c r="Q13" i="39"/>
  <c r="P13" i="39"/>
  <c r="N13" i="39"/>
  <c r="M13" i="39"/>
  <c r="I13" i="39"/>
  <c r="H13" i="39"/>
  <c r="G13" i="39"/>
  <c r="C13" i="39"/>
  <c r="D13" i="39" s="1"/>
  <c r="U12" i="39"/>
  <c r="Q12" i="39"/>
  <c r="P12" i="39"/>
  <c r="N12" i="39"/>
  <c r="M12" i="39"/>
  <c r="I12" i="39"/>
  <c r="H12" i="39"/>
  <c r="G12" i="39"/>
  <c r="F12" i="39"/>
  <c r="E12" i="39"/>
  <c r="D12" i="39"/>
  <c r="C12" i="39"/>
  <c r="U11" i="39"/>
  <c r="Q11" i="39"/>
  <c r="P11" i="39"/>
  <c r="N11" i="39"/>
  <c r="M11" i="39"/>
  <c r="I11" i="39"/>
  <c r="H11" i="39"/>
  <c r="G11" i="39"/>
  <c r="C11" i="39"/>
  <c r="U10" i="39"/>
  <c r="Q10" i="39"/>
  <c r="P10" i="39"/>
  <c r="N10" i="39"/>
  <c r="M10" i="39"/>
  <c r="J10" i="39"/>
  <c r="I10" i="39"/>
  <c r="H10" i="39"/>
  <c r="G10" i="39"/>
  <c r="C10" i="39"/>
  <c r="U9" i="39"/>
  <c r="T9" i="39"/>
  <c r="G47" i="39" s="1"/>
  <c r="R9" i="39"/>
  <c r="G45" i="39" s="1"/>
  <c r="Q9" i="39"/>
  <c r="G61" i="39" s="1"/>
  <c r="P9" i="39"/>
  <c r="K60" i="39" s="1"/>
  <c r="N9" i="39"/>
  <c r="K40" i="39" s="1"/>
  <c r="M9" i="39"/>
  <c r="K39" i="39" s="1"/>
  <c r="I9" i="39"/>
  <c r="G38" i="39" s="1"/>
  <c r="H9" i="39"/>
  <c r="G32" i="39" s="1"/>
  <c r="G9" i="39"/>
  <c r="K31" i="39" s="1"/>
  <c r="E9" i="39"/>
  <c r="K34" i="39" s="1"/>
  <c r="D9" i="39"/>
  <c r="G33" i="39" s="1"/>
  <c r="C9" i="39"/>
  <c r="G30" i="39" s="1"/>
  <c r="U8" i="39"/>
  <c r="Q8" i="39"/>
  <c r="P8" i="39"/>
  <c r="N8" i="39"/>
  <c r="M8" i="39"/>
  <c r="I8" i="39"/>
  <c r="H8" i="39"/>
  <c r="G8" i="39"/>
  <c r="F8" i="39"/>
  <c r="E8" i="39"/>
  <c r="D8" i="39"/>
  <c r="C8" i="39"/>
  <c r="U7" i="39"/>
  <c r="Q7" i="39"/>
  <c r="P7" i="39"/>
  <c r="N7" i="39"/>
  <c r="M7" i="39"/>
  <c r="I7" i="39"/>
  <c r="H7" i="39"/>
  <c r="G7" i="39"/>
  <c r="C7" i="39"/>
  <c r="D7" i="39" s="1"/>
  <c r="U6" i="39"/>
  <c r="Q6" i="39"/>
  <c r="P6" i="39"/>
  <c r="N6" i="39"/>
  <c r="M6" i="39"/>
  <c r="I6" i="39"/>
  <c r="H6" i="39"/>
  <c r="G6" i="39"/>
  <c r="C6" i="39"/>
  <c r="U5" i="39"/>
  <c r="Q5" i="39"/>
  <c r="J61" i="39" s="1"/>
  <c r="P5" i="39"/>
  <c r="N60" i="39" s="1"/>
  <c r="N5" i="39"/>
  <c r="N40" i="39" s="1"/>
  <c r="M5" i="39"/>
  <c r="J39" i="39" s="1"/>
  <c r="I5" i="39"/>
  <c r="H38" i="39" s="1"/>
  <c r="H5" i="39"/>
  <c r="N32" i="39" s="1"/>
  <c r="G5" i="39"/>
  <c r="L31" i="39" s="1"/>
  <c r="C5" i="39"/>
  <c r="H30" i="39" s="1"/>
  <c r="Q4" i="39"/>
  <c r="P4" i="39"/>
  <c r="N4" i="39"/>
  <c r="M4" i="39"/>
  <c r="L4" i="39"/>
  <c r="K4" i="39"/>
  <c r="J4" i="39"/>
  <c r="H4" i="39"/>
  <c r="G4" i="39"/>
  <c r="F4" i="39"/>
  <c r="E4" i="39"/>
  <c r="D4" i="39"/>
  <c r="G20" i="2"/>
  <c r="E53" i="39" l="1"/>
  <c r="E49" i="39"/>
  <c r="J62" i="39"/>
  <c r="K62" i="39"/>
  <c r="L10" i="39"/>
  <c r="M53" i="39"/>
  <c r="M49" i="39"/>
  <c r="E13" i="39"/>
  <c r="G48" i="39"/>
  <c r="G55" i="39" s="1"/>
  <c r="I53" i="39"/>
  <c r="I49" i="39"/>
  <c r="F7" i="39"/>
  <c r="E7" i="39"/>
  <c r="H32" i="39"/>
  <c r="F9" i="39"/>
  <c r="K10" i="39"/>
  <c r="J11" i="39"/>
  <c r="L11" i="39" s="1"/>
  <c r="C30" i="39"/>
  <c r="K30" i="39"/>
  <c r="F31" i="39"/>
  <c r="N31" i="39"/>
  <c r="G34" i="39"/>
  <c r="J38" i="39"/>
  <c r="H40" i="39"/>
  <c r="H60" i="39"/>
  <c r="H62" i="39" s="1"/>
  <c r="D61" i="39"/>
  <c r="L61" i="39"/>
  <c r="D10" i="39"/>
  <c r="K11" i="39"/>
  <c r="J12" i="39"/>
  <c r="K12" i="39" s="1"/>
  <c r="D30" i="39"/>
  <c r="L30" i="39"/>
  <c r="G31" i="39"/>
  <c r="J32" i="39"/>
  <c r="C38" i="39"/>
  <c r="K38" i="39"/>
  <c r="F39" i="39"/>
  <c r="N39" i="39"/>
  <c r="J6" i="39"/>
  <c r="D5" i="39"/>
  <c r="J7" i="39"/>
  <c r="K7" i="39" s="1"/>
  <c r="D11" i="39"/>
  <c r="J13" i="39"/>
  <c r="L13" i="39" s="1"/>
  <c r="H31" i="39"/>
  <c r="C32" i="39"/>
  <c r="K32" i="39"/>
  <c r="D38" i="39"/>
  <c r="L38" i="39"/>
  <c r="G39" i="39"/>
  <c r="J40" i="39"/>
  <c r="C45" i="39"/>
  <c r="K45" i="39"/>
  <c r="K48" i="39" s="1"/>
  <c r="K55" i="39" s="1"/>
  <c r="C47" i="39"/>
  <c r="K47" i="39"/>
  <c r="J60" i="39"/>
  <c r="F61" i="39"/>
  <c r="N61" i="39"/>
  <c r="N62" i="39" s="1"/>
  <c r="D6" i="39"/>
  <c r="J8" i="39"/>
  <c r="K8" i="39" s="1"/>
  <c r="K13" i="39"/>
  <c r="F30" i="39"/>
  <c r="N30" i="39"/>
  <c r="D32" i="39"/>
  <c r="L32" i="39"/>
  <c r="H39" i="39"/>
  <c r="C40" i="39"/>
  <c r="C60" i="39"/>
  <c r="C62" i="39" s="1"/>
  <c r="J5" i="39"/>
  <c r="J9" i="39"/>
  <c r="J31" i="39"/>
  <c r="C34" i="39"/>
  <c r="F38" i="39"/>
  <c r="N38" i="39"/>
  <c r="D40" i="39"/>
  <c r="L40" i="39"/>
  <c r="D60" i="39"/>
  <c r="D62" i="39" s="1"/>
  <c r="L60" i="39"/>
  <c r="L62" i="39" s="1"/>
  <c r="H61" i="39"/>
  <c r="C31" i="39"/>
  <c r="F32" i="39"/>
  <c r="D31" i="39"/>
  <c r="C39" i="39"/>
  <c r="F40" i="39"/>
  <c r="F60" i="39"/>
  <c r="F62" i="39" s="1"/>
  <c r="H41" i="39" l="1"/>
  <c r="N41" i="39"/>
  <c r="F41" i="39"/>
  <c r="L41" i="39"/>
  <c r="D41" i="39"/>
  <c r="J41" i="39"/>
  <c r="E10" i="39"/>
  <c r="O10" i="39" s="1"/>
  <c r="W10" i="39" s="1"/>
  <c r="F13" i="39"/>
  <c r="O13" i="39" s="1"/>
  <c r="W13" i="39" s="1"/>
  <c r="E56" i="39"/>
  <c r="L7" i="39"/>
  <c r="O7" i="39" s="1"/>
  <c r="W7" i="39" s="1"/>
  <c r="F10" i="39"/>
  <c r="K6" i="39"/>
  <c r="L6" i="39" s="1"/>
  <c r="L12" i="39"/>
  <c r="O12" i="39" s="1"/>
  <c r="W12" i="39" s="1"/>
  <c r="I56" i="39"/>
  <c r="F11" i="39"/>
  <c r="C36" i="39"/>
  <c r="L8" i="39"/>
  <c r="O8" i="39" s="1"/>
  <c r="W8" i="39" s="1"/>
  <c r="G35" i="39"/>
  <c r="G36" i="39" s="1"/>
  <c r="K35" i="39"/>
  <c r="K36" i="39" s="1"/>
  <c r="C35" i="39"/>
  <c r="E11" i="39"/>
  <c r="O11" i="39" s="1"/>
  <c r="W11" i="39" s="1"/>
  <c r="J33" i="39"/>
  <c r="H33" i="39"/>
  <c r="N33" i="39"/>
  <c r="F33" i="39"/>
  <c r="L33" i="39"/>
  <c r="D33" i="39"/>
  <c r="E6" i="39"/>
  <c r="M56" i="39"/>
  <c r="K9" i="39"/>
  <c r="G41" i="39"/>
  <c r="K41" i="39"/>
  <c r="C41" i="39"/>
  <c r="C48" i="39"/>
  <c r="C55" i="39" s="1"/>
  <c r="E5" i="39"/>
  <c r="K5" i="39"/>
  <c r="BL5" i="1"/>
  <c r="BL6" i="1"/>
  <c r="BL7" i="1"/>
  <c r="BL8" i="1"/>
  <c r="BL9" i="1"/>
  <c r="BL10" i="1"/>
  <c r="BL11" i="1"/>
  <c r="BL12" i="1"/>
  <c r="BL13" i="1"/>
  <c r="BL14" i="1"/>
  <c r="BL15" i="1"/>
  <c r="BL16" i="1"/>
  <c r="BL17" i="1"/>
  <c r="BL18" i="1"/>
  <c r="BL19" i="1"/>
  <c r="BL27" i="1"/>
  <c r="BL34" i="1"/>
  <c r="BL42" i="1"/>
  <c r="BL43" i="1"/>
  <c r="BL44" i="1"/>
  <c r="BL45" i="1"/>
  <c r="BL50" i="1"/>
  <c r="BL51" i="1"/>
  <c r="BL52" i="1"/>
  <c r="BL56" i="1"/>
  <c r="BL57" i="1"/>
  <c r="BL61" i="1"/>
  <c r="BL62" i="1"/>
  <c r="BL63" i="1"/>
  <c r="BL64" i="1"/>
  <c r="BL65" i="1"/>
  <c r="BL66" i="1"/>
  <c r="BL67" i="1"/>
  <c r="BL68" i="1"/>
  <c r="BL69" i="1"/>
  <c r="BL70" i="1"/>
  <c r="BL72" i="1"/>
  <c r="BL73" i="1"/>
  <c r="BL74" i="1"/>
  <c r="BL83" i="1"/>
  <c r="BL85" i="1"/>
  <c r="BL86" i="1"/>
  <c r="BL104" i="1"/>
  <c r="BL105" i="1"/>
  <c r="BL106" i="1"/>
  <c r="BL107" i="1"/>
  <c r="BL108" i="1"/>
  <c r="BL109" i="1"/>
  <c r="BL110" i="1"/>
  <c r="BL111" i="1"/>
  <c r="BL120" i="1"/>
  <c r="BL121" i="1"/>
  <c r="BL122" i="1"/>
  <c r="BL123" i="1"/>
  <c r="BL124" i="1"/>
  <c r="BL125" i="1"/>
  <c r="BL126" i="1"/>
  <c r="BL127" i="1"/>
  <c r="BL128" i="1"/>
  <c r="BL129" i="1"/>
  <c r="BL130" i="1"/>
  <c r="BL131" i="1"/>
  <c r="BL132" i="1"/>
  <c r="BL133" i="1"/>
  <c r="BL134" i="1"/>
  <c r="BL135" i="1"/>
  <c r="BL136" i="1"/>
  <c r="BL137" i="1"/>
  <c r="BL141" i="1"/>
  <c r="BL142" i="1"/>
  <c r="BL143" i="1"/>
  <c r="BL144" i="1"/>
  <c r="BL162" i="1"/>
  <c r="BL178" i="1"/>
  <c r="BL179" i="1"/>
  <c r="BL180" i="1"/>
  <c r="BL181" i="1"/>
  <c r="BL182" i="1"/>
  <c r="BL183" i="1"/>
  <c r="BL184" i="1"/>
  <c r="BL185" i="1"/>
  <c r="BL186" i="1"/>
  <c r="BL187" i="1"/>
  <c r="BL188" i="1"/>
  <c r="BL189" i="1"/>
  <c r="BL190" i="1"/>
  <c r="BL191" i="1"/>
  <c r="BL192" i="1"/>
  <c r="BL193" i="1"/>
  <c r="BL194" i="1"/>
  <c r="BL195" i="1"/>
  <c r="BL196" i="1"/>
  <c r="BL197" i="1"/>
  <c r="BL198" i="1"/>
  <c r="BL199" i="1"/>
  <c r="BL200" i="1"/>
  <c r="BL201" i="1"/>
  <c r="BL202" i="1"/>
  <c r="BL203" i="1"/>
  <c r="BL204" i="1"/>
  <c r="BL205" i="1"/>
  <c r="BL206" i="1"/>
  <c r="BL207" i="1"/>
  <c r="BL208" i="1"/>
  <c r="BL209" i="1"/>
  <c r="BL210" i="1"/>
  <c r="BL211" i="1"/>
  <c r="BL4" i="1"/>
  <c r="BJ83" i="1"/>
  <c r="BJ85" i="1"/>
  <c r="BJ86" i="1"/>
  <c r="BJ104" i="1"/>
  <c r="BJ105" i="1"/>
  <c r="BJ106" i="1"/>
  <c r="BJ107" i="1"/>
  <c r="BJ108" i="1"/>
  <c r="BJ109" i="1"/>
  <c r="BJ110" i="1"/>
  <c r="BJ111" i="1"/>
  <c r="BJ120" i="1"/>
  <c r="BJ121" i="1"/>
  <c r="BJ122" i="1"/>
  <c r="BJ123" i="1"/>
  <c r="BJ124" i="1"/>
  <c r="BJ125" i="1"/>
  <c r="BJ126" i="1"/>
  <c r="BJ127" i="1"/>
  <c r="BJ128" i="1"/>
  <c r="BJ129" i="1"/>
  <c r="BJ130" i="1"/>
  <c r="BJ131" i="1"/>
  <c r="BJ132" i="1"/>
  <c r="BJ133" i="1"/>
  <c r="BJ134" i="1"/>
  <c r="BJ135" i="1"/>
  <c r="BJ136" i="1"/>
  <c r="BJ137" i="1"/>
  <c r="BJ141" i="1"/>
  <c r="BJ142" i="1"/>
  <c r="BJ143" i="1"/>
  <c r="BJ144" i="1"/>
  <c r="BJ162" i="1"/>
  <c r="BJ178" i="1"/>
  <c r="BJ179" i="1"/>
  <c r="BJ180" i="1"/>
  <c r="BJ181" i="1"/>
  <c r="BJ182" i="1"/>
  <c r="BJ183" i="1"/>
  <c r="BJ184" i="1"/>
  <c r="BJ185" i="1"/>
  <c r="BJ186" i="1"/>
  <c r="BJ187" i="1"/>
  <c r="BJ188" i="1"/>
  <c r="BJ189" i="1"/>
  <c r="BJ190" i="1"/>
  <c r="BJ191" i="1"/>
  <c r="BJ192" i="1"/>
  <c r="BJ193" i="1"/>
  <c r="BJ194" i="1"/>
  <c r="BJ195" i="1"/>
  <c r="BJ196" i="1"/>
  <c r="BJ197" i="1"/>
  <c r="BJ198" i="1"/>
  <c r="BJ199" i="1"/>
  <c r="BJ200" i="1"/>
  <c r="BJ201" i="1"/>
  <c r="BJ202" i="1"/>
  <c r="BJ203" i="1"/>
  <c r="BJ204" i="1"/>
  <c r="BJ205" i="1"/>
  <c r="BJ206" i="1"/>
  <c r="BJ207" i="1"/>
  <c r="BJ208" i="1"/>
  <c r="BJ209" i="1"/>
  <c r="BJ210" i="1"/>
  <c r="BJ211" i="1"/>
  <c r="BJ5" i="1"/>
  <c r="BJ6" i="1"/>
  <c r="BJ7" i="1"/>
  <c r="BJ8" i="1"/>
  <c r="BJ9" i="1"/>
  <c r="BJ10" i="1"/>
  <c r="BJ11" i="1"/>
  <c r="BJ12" i="1"/>
  <c r="BJ13" i="1"/>
  <c r="BJ14" i="1"/>
  <c r="BJ15" i="1"/>
  <c r="BJ16" i="1"/>
  <c r="BJ17" i="1"/>
  <c r="BJ18" i="1"/>
  <c r="BJ19" i="1"/>
  <c r="BJ27" i="1"/>
  <c r="BJ34" i="1"/>
  <c r="BJ42" i="1"/>
  <c r="BJ43" i="1"/>
  <c r="BJ44" i="1"/>
  <c r="BJ45" i="1"/>
  <c r="BJ50" i="1"/>
  <c r="BJ51" i="1"/>
  <c r="BJ52" i="1"/>
  <c r="BJ56" i="1"/>
  <c r="BJ57" i="1"/>
  <c r="BJ61" i="1"/>
  <c r="BJ62" i="1"/>
  <c r="BJ63" i="1"/>
  <c r="BJ64" i="1"/>
  <c r="BJ65" i="1"/>
  <c r="BJ66" i="1"/>
  <c r="BJ67" i="1"/>
  <c r="BJ68" i="1"/>
  <c r="BJ69" i="1"/>
  <c r="BJ70" i="1"/>
  <c r="BJ72" i="1"/>
  <c r="BJ73" i="1"/>
  <c r="BJ74" i="1"/>
  <c r="BJ4" i="1"/>
  <c r="BK5" i="1"/>
  <c r="BK6" i="1"/>
  <c r="BK7" i="1"/>
  <c r="BK8" i="1"/>
  <c r="BK9" i="1"/>
  <c r="BK10" i="1"/>
  <c r="BK11" i="1"/>
  <c r="BK12" i="1"/>
  <c r="BK13" i="1"/>
  <c r="BK14" i="1"/>
  <c r="BK15" i="1"/>
  <c r="BK16" i="1"/>
  <c r="BK17" i="1"/>
  <c r="BK18" i="1"/>
  <c r="BK19" i="1"/>
  <c r="BK42" i="1"/>
  <c r="BK43" i="1"/>
  <c r="BK44" i="1"/>
  <c r="BK45" i="1"/>
  <c r="BK50" i="1"/>
  <c r="BK51" i="1"/>
  <c r="BK52" i="1"/>
  <c r="BK61" i="1"/>
  <c r="BK62" i="1"/>
  <c r="BK63" i="1"/>
  <c r="BK64" i="1"/>
  <c r="BK65" i="1"/>
  <c r="BK66" i="1"/>
  <c r="BK67" i="1"/>
  <c r="BK68" i="1"/>
  <c r="BK69" i="1"/>
  <c r="BK70" i="1"/>
  <c r="BK72" i="1"/>
  <c r="BK73" i="1"/>
  <c r="BK74" i="1"/>
  <c r="BK75" i="1"/>
  <c r="BK76" i="1"/>
  <c r="BK77" i="1"/>
  <c r="BK78" i="1"/>
  <c r="BK79" i="1"/>
  <c r="BK85" i="1"/>
  <c r="BK104" i="1"/>
  <c r="BK105" i="1"/>
  <c r="BK106" i="1"/>
  <c r="BK107" i="1"/>
  <c r="BK108" i="1"/>
  <c r="BK109" i="1"/>
  <c r="BK110" i="1"/>
  <c r="BK111" i="1"/>
  <c r="BK120" i="1"/>
  <c r="BK121" i="1"/>
  <c r="BK122" i="1"/>
  <c r="BK123" i="1"/>
  <c r="BK124" i="1"/>
  <c r="BK125" i="1"/>
  <c r="BK126" i="1"/>
  <c r="BK127" i="1"/>
  <c r="BK143" i="1"/>
  <c r="BK162" i="1"/>
  <c r="BK178" i="1"/>
  <c r="BK179" i="1"/>
  <c r="BK180" i="1"/>
  <c r="BK181" i="1"/>
  <c r="BK182" i="1"/>
  <c r="BK183" i="1"/>
  <c r="BK184" i="1"/>
  <c r="BK185" i="1"/>
  <c r="BK186" i="1"/>
  <c r="BK187" i="1"/>
  <c r="BK188" i="1"/>
  <c r="BK189" i="1"/>
  <c r="BK190" i="1"/>
  <c r="BK191" i="1"/>
  <c r="BK192" i="1"/>
  <c r="BK193" i="1"/>
  <c r="BK194" i="1"/>
  <c r="BK195" i="1"/>
  <c r="BK196" i="1"/>
  <c r="BK197" i="1"/>
  <c r="BK198" i="1"/>
  <c r="BK199" i="1"/>
  <c r="BK200" i="1"/>
  <c r="BK201" i="1"/>
  <c r="BK202" i="1"/>
  <c r="BK203" i="1"/>
  <c r="BK204" i="1"/>
  <c r="BK205" i="1"/>
  <c r="BK206" i="1"/>
  <c r="BK207" i="1"/>
  <c r="BK208" i="1"/>
  <c r="BK209" i="1"/>
  <c r="BK210" i="1"/>
  <c r="BK211" i="1"/>
  <c r="BK4" i="1"/>
  <c r="BI162" i="1"/>
  <c r="BI178" i="1"/>
  <c r="BI179" i="1"/>
  <c r="BI180" i="1"/>
  <c r="BI181" i="1"/>
  <c r="BI182" i="1"/>
  <c r="BI183" i="1"/>
  <c r="BI184" i="1"/>
  <c r="BI185" i="1"/>
  <c r="BI186" i="1"/>
  <c r="BI187" i="1"/>
  <c r="BI188" i="1"/>
  <c r="BI189" i="1"/>
  <c r="BI190" i="1"/>
  <c r="BI191" i="1"/>
  <c r="BI192" i="1"/>
  <c r="BI193" i="1"/>
  <c r="BI194" i="1"/>
  <c r="BI195" i="1"/>
  <c r="BI196" i="1"/>
  <c r="BI197" i="1"/>
  <c r="BI198" i="1"/>
  <c r="BI199" i="1"/>
  <c r="BI200" i="1"/>
  <c r="BI201" i="1"/>
  <c r="BI202" i="1"/>
  <c r="BI203" i="1"/>
  <c r="BI204" i="1"/>
  <c r="BI205" i="1"/>
  <c r="BI206" i="1"/>
  <c r="BI207" i="1"/>
  <c r="BI208" i="1"/>
  <c r="BI209" i="1"/>
  <c r="BI210" i="1"/>
  <c r="BI211" i="1"/>
  <c r="BI61" i="1"/>
  <c r="BI62" i="1"/>
  <c r="BI63" i="1"/>
  <c r="BI64" i="1"/>
  <c r="BI65" i="1"/>
  <c r="BI66" i="1"/>
  <c r="BI67" i="1"/>
  <c r="BI68" i="1"/>
  <c r="BI69" i="1"/>
  <c r="BI70" i="1"/>
  <c r="BI72" i="1"/>
  <c r="BI73" i="1"/>
  <c r="BI74" i="1"/>
  <c r="BI75" i="1"/>
  <c r="BI76" i="1"/>
  <c r="BI77" i="1"/>
  <c r="BI78" i="1"/>
  <c r="BI79" i="1"/>
  <c r="BI85" i="1"/>
  <c r="BI104" i="1"/>
  <c r="BI105" i="1"/>
  <c r="BI106" i="1"/>
  <c r="BI107" i="1"/>
  <c r="BI108" i="1"/>
  <c r="BI109" i="1"/>
  <c r="BI110" i="1"/>
  <c r="BI111" i="1"/>
  <c r="BI120" i="1"/>
  <c r="BI121" i="1"/>
  <c r="BI122" i="1"/>
  <c r="BI123" i="1"/>
  <c r="BI124" i="1"/>
  <c r="BI125" i="1"/>
  <c r="BI126" i="1"/>
  <c r="BI127" i="1"/>
  <c r="BI143" i="1"/>
  <c r="BI5" i="1"/>
  <c r="BI6" i="1"/>
  <c r="BI7" i="1"/>
  <c r="BI8" i="1"/>
  <c r="BI9" i="1"/>
  <c r="BI10" i="1"/>
  <c r="BI11" i="1"/>
  <c r="BI12" i="1"/>
  <c r="BI13" i="1"/>
  <c r="BI14" i="1"/>
  <c r="BI15" i="1"/>
  <c r="BI16" i="1"/>
  <c r="BI17" i="1"/>
  <c r="BI18" i="1"/>
  <c r="BI19" i="1"/>
  <c r="BI42" i="1"/>
  <c r="BI43" i="1"/>
  <c r="BI44" i="1"/>
  <c r="BI45" i="1"/>
  <c r="BI50" i="1"/>
  <c r="BI51" i="1"/>
  <c r="BI52" i="1"/>
  <c r="BI4" i="1"/>
  <c r="K53" i="39" l="1"/>
  <c r="G53" i="39"/>
  <c r="K42" i="39"/>
  <c r="C42" i="39"/>
  <c r="G42" i="39"/>
  <c r="F6" i="39"/>
  <c r="O6" i="39" s="1"/>
  <c r="W6" i="39" s="1"/>
  <c r="C53" i="39"/>
  <c r="L42" i="39"/>
  <c r="D42" i="39"/>
  <c r="J42" i="39"/>
  <c r="H42" i="39"/>
  <c r="N42" i="39"/>
  <c r="F42" i="39"/>
  <c r="L9" i="39"/>
  <c r="O9" i="39" s="1"/>
  <c r="W9" i="39" s="1"/>
  <c r="L34" i="39"/>
  <c r="D34" i="39"/>
  <c r="F34" i="39"/>
  <c r="J34" i="39"/>
  <c r="N34" i="39"/>
  <c r="H34" i="39"/>
  <c r="F5" i="39"/>
  <c r="L5" i="39"/>
  <c r="F44" i="39" l="1"/>
  <c r="F54" i="39" s="1"/>
  <c r="D44" i="39"/>
  <c r="D54" i="39" s="1"/>
  <c r="N43" i="39"/>
  <c r="N44" i="39" s="1"/>
  <c r="N54" i="39" s="1"/>
  <c r="F43" i="39"/>
  <c r="L43" i="39"/>
  <c r="L44" i="39" s="1"/>
  <c r="L54" i="39" s="1"/>
  <c r="D43" i="39"/>
  <c r="H43" i="39"/>
  <c r="H44" i="39" s="1"/>
  <c r="H54" i="39" s="1"/>
  <c r="J43" i="39"/>
  <c r="J44" i="39" s="1"/>
  <c r="J54" i="39" s="1"/>
  <c r="D36" i="39"/>
  <c r="H35" i="39"/>
  <c r="H36" i="39" s="1"/>
  <c r="N35" i="39"/>
  <c r="N36" i="39" s="1"/>
  <c r="F35" i="39"/>
  <c r="F36" i="39" s="1"/>
  <c r="L35" i="39"/>
  <c r="L36" i="39" s="1"/>
  <c r="D35" i="39"/>
  <c r="J35" i="39"/>
  <c r="J36" i="39" s="1"/>
  <c r="O5" i="39"/>
  <c r="W5" i="39" s="1"/>
  <c r="G43" i="39"/>
  <c r="G44" i="39" s="1"/>
  <c r="K43" i="39"/>
  <c r="K44" i="39" s="1"/>
  <c r="C43" i="39"/>
  <c r="C44" i="39" s="1"/>
  <c r="BP5" i="1"/>
  <c r="BP6" i="1"/>
  <c r="BP7" i="1"/>
  <c r="BP8" i="1"/>
  <c r="BP9" i="1"/>
  <c r="BP10" i="1"/>
  <c r="BP11" i="1"/>
  <c r="BP12" i="1"/>
  <c r="BP13" i="1"/>
  <c r="BP14" i="1"/>
  <c r="BP15" i="1"/>
  <c r="BP16" i="1"/>
  <c r="BP17" i="1"/>
  <c r="BP18" i="1"/>
  <c r="BP19" i="1"/>
  <c r="BP27" i="1"/>
  <c r="BP34" i="1"/>
  <c r="BP42" i="1"/>
  <c r="BP43" i="1"/>
  <c r="BP44" i="1"/>
  <c r="BP45" i="1"/>
  <c r="BP50" i="1"/>
  <c r="BP51" i="1"/>
  <c r="BP52" i="1"/>
  <c r="BP56" i="1"/>
  <c r="BP57" i="1"/>
  <c r="BP61" i="1"/>
  <c r="BP62" i="1"/>
  <c r="BP63" i="1"/>
  <c r="BP64" i="1"/>
  <c r="BP65" i="1"/>
  <c r="BP66" i="1"/>
  <c r="BP67" i="1"/>
  <c r="BP68" i="1"/>
  <c r="BP69" i="1"/>
  <c r="BP70" i="1"/>
  <c r="BP72" i="1"/>
  <c r="BP73" i="1"/>
  <c r="BP74" i="1"/>
  <c r="BP78" i="1"/>
  <c r="BP79" i="1"/>
  <c r="BP83" i="1"/>
  <c r="BP85" i="1"/>
  <c r="BP86" i="1"/>
  <c r="BP105" i="1"/>
  <c r="BP106" i="1"/>
  <c r="BP107" i="1"/>
  <c r="BP108" i="1"/>
  <c r="BP109" i="1"/>
  <c r="BP110" i="1"/>
  <c r="BP111" i="1"/>
  <c r="BP120" i="1"/>
  <c r="BP121" i="1"/>
  <c r="BP122" i="1"/>
  <c r="BP123" i="1"/>
  <c r="BP124" i="1"/>
  <c r="BP125" i="1"/>
  <c r="BP126" i="1"/>
  <c r="BP127" i="1"/>
  <c r="BP133" i="1"/>
  <c r="BP134" i="1"/>
  <c r="BP137" i="1"/>
  <c r="BP141" i="1"/>
  <c r="BP142" i="1"/>
  <c r="BP143" i="1"/>
  <c r="BP158" i="1"/>
  <c r="BP159" i="1"/>
  <c r="BP160" i="1"/>
  <c r="BP161" i="1"/>
  <c r="BP162" i="1"/>
  <c r="BP164" i="1"/>
  <c r="BP165" i="1"/>
  <c r="BP166" i="1"/>
  <c r="BP167" i="1"/>
  <c r="BP168" i="1"/>
  <c r="BP169" i="1"/>
  <c r="BP170" i="1"/>
  <c r="BP171" i="1"/>
  <c r="BP178" i="1"/>
  <c r="BP179" i="1"/>
  <c r="BP180" i="1"/>
  <c r="BP181" i="1"/>
  <c r="BP182" i="1"/>
  <c r="BP183" i="1"/>
  <c r="BP184" i="1"/>
  <c r="BP185" i="1"/>
  <c r="BP186" i="1"/>
  <c r="BP187" i="1"/>
  <c r="BP188" i="1"/>
  <c r="BP189" i="1"/>
  <c r="BP190" i="1"/>
  <c r="BP191" i="1"/>
  <c r="BP192" i="1"/>
  <c r="BP193" i="1"/>
  <c r="BP194" i="1"/>
  <c r="BP195" i="1"/>
  <c r="BP196" i="1"/>
  <c r="BP197" i="1"/>
  <c r="BP198" i="1"/>
  <c r="BP199" i="1"/>
  <c r="BP200" i="1"/>
  <c r="BP201" i="1"/>
  <c r="BP202" i="1"/>
  <c r="BP203" i="1"/>
  <c r="BP204" i="1"/>
  <c r="BP205" i="1"/>
  <c r="BP206" i="1"/>
  <c r="BP207" i="1"/>
  <c r="BP208" i="1"/>
  <c r="BP209" i="1"/>
  <c r="BP210" i="1"/>
  <c r="BP211" i="1"/>
  <c r="BP4" i="1"/>
  <c r="BO5" i="1"/>
  <c r="BO6" i="1"/>
  <c r="BO7" i="1"/>
  <c r="BO8" i="1"/>
  <c r="BO9" i="1"/>
  <c r="BO10" i="1"/>
  <c r="BO11" i="1"/>
  <c r="BO12" i="1"/>
  <c r="BO13" i="1"/>
  <c r="BO14" i="1"/>
  <c r="BO15" i="1"/>
  <c r="BO16" i="1"/>
  <c r="BO17" i="1"/>
  <c r="BO18" i="1"/>
  <c r="BO19" i="1"/>
  <c r="BO20" i="1"/>
  <c r="BO21" i="1"/>
  <c r="BO22" i="1"/>
  <c r="BO23" i="1"/>
  <c r="BO24" i="1"/>
  <c r="BO25" i="1"/>
  <c r="BO26" i="1"/>
  <c r="BO27" i="1"/>
  <c r="BO28" i="1"/>
  <c r="BO29" i="1"/>
  <c r="BO30" i="1"/>
  <c r="BO31" i="1"/>
  <c r="BO32" i="1"/>
  <c r="BO33" i="1"/>
  <c r="BO34" i="1"/>
  <c r="BO35" i="1"/>
  <c r="BO36" i="1"/>
  <c r="BO37" i="1"/>
  <c r="BO38" i="1"/>
  <c r="BO39" i="1"/>
  <c r="BO40" i="1"/>
  <c r="BO41" i="1"/>
  <c r="BO42" i="1"/>
  <c r="BO46" i="1"/>
  <c r="BO47" i="1"/>
  <c r="BO48" i="1"/>
  <c r="BO49" i="1"/>
  <c r="BO50" i="1"/>
  <c r="BO51" i="1"/>
  <c r="BO52" i="1"/>
  <c r="BO53" i="1"/>
  <c r="BO54" i="1"/>
  <c r="BO55" i="1"/>
  <c r="BO56" i="1"/>
  <c r="BO57" i="1"/>
  <c r="BO58" i="1"/>
  <c r="BO59" i="1"/>
  <c r="BO60" i="1"/>
  <c r="BO61" i="1"/>
  <c r="BO62" i="1"/>
  <c r="BO63" i="1"/>
  <c r="BO64" i="1"/>
  <c r="BO65" i="1"/>
  <c r="BO66" i="1"/>
  <c r="BO67" i="1"/>
  <c r="BO68" i="1"/>
  <c r="BO69" i="1"/>
  <c r="BO70" i="1"/>
  <c r="BO71" i="1"/>
  <c r="BO72" i="1"/>
  <c r="BO73" i="1"/>
  <c r="BO74" i="1"/>
  <c r="BO75" i="1"/>
  <c r="BO76" i="1"/>
  <c r="BO77" i="1"/>
  <c r="BO78" i="1"/>
  <c r="BO79" i="1"/>
  <c r="BO80" i="1"/>
  <c r="BO81" i="1"/>
  <c r="BO82" i="1"/>
  <c r="BO83" i="1"/>
  <c r="BO84" i="1"/>
  <c r="BO85" i="1"/>
  <c r="BO86" i="1"/>
  <c r="BO87" i="1"/>
  <c r="BO88" i="1"/>
  <c r="BO89" i="1"/>
  <c r="BO90" i="1"/>
  <c r="BO91" i="1"/>
  <c r="BO92" i="1"/>
  <c r="BO93" i="1"/>
  <c r="BO94" i="1"/>
  <c r="BO95" i="1"/>
  <c r="BO96" i="1"/>
  <c r="BO97" i="1"/>
  <c r="BO98" i="1"/>
  <c r="BO99" i="1"/>
  <c r="BO100" i="1"/>
  <c r="BO101" i="1"/>
  <c r="BO102" i="1"/>
  <c r="BO103" i="1"/>
  <c r="BO104" i="1"/>
  <c r="BO105" i="1"/>
  <c r="BO106" i="1"/>
  <c r="BO107" i="1"/>
  <c r="BO108" i="1"/>
  <c r="BO109" i="1"/>
  <c r="BO110" i="1"/>
  <c r="BO111" i="1"/>
  <c r="BO112" i="1"/>
  <c r="BO113" i="1"/>
  <c r="BO114" i="1"/>
  <c r="BO115" i="1"/>
  <c r="BO116" i="1"/>
  <c r="BO117" i="1"/>
  <c r="BO118" i="1"/>
  <c r="BO119" i="1"/>
  <c r="BO120" i="1"/>
  <c r="BO121" i="1"/>
  <c r="BO122" i="1"/>
  <c r="BO123" i="1"/>
  <c r="BO124" i="1"/>
  <c r="BO125" i="1"/>
  <c r="BO126" i="1"/>
  <c r="BO127" i="1"/>
  <c r="BO128" i="1"/>
  <c r="BO129" i="1"/>
  <c r="BO130" i="1"/>
  <c r="BO131" i="1"/>
  <c r="BO132" i="1"/>
  <c r="BO133" i="1"/>
  <c r="BO134" i="1"/>
  <c r="BO135" i="1"/>
  <c r="BO136" i="1"/>
  <c r="BO137" i="1"/>
  <c r="BO138" i="1"/>
  <c r="BO139" i="1"/>
  <c r="BO140" i="1"/>
  <c r="BO141" i="1"/>
  <c r="BO142" i="1"/>
  <c r="BO143" i="1"/>
  <c r="BO144" i="1"/>
  <c r="BO145" i="1"/>
  <c r="BO146" i="1"/>
  <c r="BO147" i="1"/>
  <c r="BO148" i="1"/>
  <c r="BO149" i="1"/>
  <c r="BO150" i="1"/>
  <c r="BO151" i="1"/>
  <c r="BO152" i="1"/>
  <c r="BO153" i="1"/>
  <c r="BO154" i="1"/>
  <c r="BO155" i="1"/>
  <c r="BO156" i="1"/>
  <c r="BO157" i="1"/>
  <c r="BO162" i="1"/>
  <c r="BO163" i="1"/>
  <c r="BO172" i="1"/>
  <c r="BO173" i="1"/>
  <c r="BO174" i="1"/>
  <c r="BO175" i="1"/>
  <c r="BO176" i="1"/>
  <c r="BO177" i="1"/>
  <c r="BO178" i="1"/>
  <c r="BO179" i="1"/>
  <c r="BO180" i="1"/>
  <c r="BO181" i="1"/>
  <c r="BO182" i="1"/>
  <c r="BO183" i="1"/>
  <c r="BO184" i="1"/>
  <c r="BO185" i="1"/>
  <c r="BO186" i="1"/>
  <c r="BO187" i="1"/>
  <c r="BO188" i="1"/>
  <c r="BO189" i="1"/>
  <c r="BO190" i="1"/>
  <c r="BO191" i="1"/>
  <c r="BO192" i="1"/>
  <c r="BO193" i="1"/>
  <c r="BO194" i="1"/>
  <c r="BO195" i="1"/>
  <c r="BO196" i="1"/>
  <c r="BO197" i="1"/>
  <c r="BO198" i="1"/>
  <c r="BO199" i="1"/>
  <c r="BO200" i="1"/>
  <c r="BO201" i="1"/>
  <c r="BO202" i="1"/>
  <c r="BO203" i="1"/>
  <c r="BO204" i="1"/>
  <c r="BO205" i="1"/>
  <c r="BO206" i="1"/>
  <c r="BO207" i="1"/>
  <c r="BO208" i="1"/>
  <c r="BO209" i="1"/>
  <c r="BO210" i="1"/>
  <c r="BO211" i="1"/>
  <c r="BO4" i="1"/>
  <c r="BD7" i="1"/>
  <c r="BD11" i="1"/>
  <c r="BD13" i="1"/>
  <c r="BD15" i="1"/>
  <c r="BD16" i="1"/>
  <c r="BD18" i="1"/>
  <c r="BD19" i="1"/>
  <c r="BD51" i="1"/>
  <c r="BD52" i="1"/>
  <c r="BD61" i="1"/>
  <c r="BD62" i="1"/>
  <c r="BD64" i="1"/>
  <c r="BD68" i="1"/>
  <c r="BD74" i="1"/>
  <c r="BD95" i="1"/>
  <c r="BD110" i="1"/>
  <c r="BD121" i="1"/>
  <c r="BD124" i="1"/>
  <c r="BD126" i="1"/>
  <c r="BD154" i="1"/>
  <c r="BD159" i="1"/>
  <c r="BD164" i="1"/>
  <c r="BD169" i="1"/>
  <c r="BD173" i="1"/>
  <c r="BE4" i="1"/>
  <c r="BE5" i="1"/>
  <c r="BE6" i="1"/>
  <c r="BE7" i="1"/>
  <c r="BE8" i="1"/>
  <c r="BE9" i="1"/>
  <c r="BE10" i="1"/>
  <c r="BE11" i="1"/>
  <c r="BE12" i="1"/>
  <c r="BE13" i="1"/>
  <c r="BE14" i="1"/>
  <c r="BE15" i="1"/>
  <c r="BE16" i="1"/>
  <c r="BE17" i="1"/>
  <c r="BE18" i="1"/>
  <c r="BE19" i="1"/>
  <c r="BE20" i="1"/>
  <c r="BE21" i="1"/>
  <c r="BE22" i="1"/>
  <c r="BE23" i="1"/>
  <c r="BE24" i="1"/>
  <c r="BE25" i="1"/>
  <c r="BE26" i="1"/>
  <c r="BE27" i="1"/>
  <c r="BK27" i="1" s="1"/>
  <c r="BE28" i="1"/>
  <c r="BE29" i="1"/>
  <c r="BE30" i="1"/>
  <c r="BE31" i="1"/>
  <c r="BE32" i="1"/>
  <c r="BE33" i="1"/>
  <c r="BE34" i="1"/>
  <c r="BK34" i="1" s="1"/>
  <c r="BE35" i="1"/>
  <c r="BE36" i="1"/>
  <c r="BE37" i="1"/>
  <c r="BE38" i="1"/>
  <c r="BE39" i="1"/>
  <c r="BE40" i="1"/>
  <c r="BE41" i="1"/>
  <c r="BE42" i="1"/>
  <c r="BE43" i="1"/>
  <c r="BE44" i="1"/>
  <c r="BE45" i="1"/>
  <c r="BE46" i="1"/>
  <c r="BE47" i="1"/>
  <c r="BE48" i="1"/>
  <c r="BE49" i="1"/>
  <c r="BE50" i="1"/>
  <c r="BE51" i="1"/>
  <c r="BE52" i="1"/>
  <c r="BE53" i="1"/>
  <c r="BE54" i="1"/>
  <c r="BE55" i="1"/>
  <c r="BE56" i="1"/>
  <c r="BK56" i="1" s="1"/>
  <c r="BE57" i="1"/>
  <c r="BK57" i="1" s="1"/>
  <c r="BE58" i="1"/>
  <c r="BE59" i="1"/>
  <c r="BE60" i="1"/>
  <c r="BE61" i="1"/>
  <c r="BE62" i="1"/>
  <c r="BE63" i="1"/>
  <c r="BE64" i="1"/>
  <c r="BE65" i="1"/>
  <c r="BE66" i="1"/>
  <c r="BE67" i="1"/>
  <c r="BE68" i="1"/>
  <c r="BE69" i="1"/>
  <c r="BE70" i="1"/>
  <c r="BE71" i="1"/>
  <c r="BE72" i="1"/>
  <c r="BE73" i="1"/>
  <c r="BE74" i="1"/>
  <c r="BE75" i="1"/>
  <c r="BL75" i="1" s="1"/>
  <c r="BE76" i="1"/>
  <c r="BL76" i="1" s="1"/>
  <c r="BE77" i="1"/>
  <c r="BL77" i="1" s="1"/>
  <c r="BE78" i="1"/>
  <c r="BL78" i="1" s="1"/>
  <c r="BE79" i="1"/>
  <c r="BL79" i="1" s="1"/>
  <c r="BE80" i="1"/>
  <c r="BE81" i="1"/>
  <c r="BE82" i="1"/>
  <c r="BE83" i="1"/>
  <c r="BK83" i="1" s="1"/>
  <c r="BE84" i="1"/>
  <c r="BE85" i="1"/>
  <c r="BE86" i="1"/>
  <c r="BK86" i="1" s="1"/>
  <c r="BE87" i="1"/>
  <c r="BE88" i="1"/>
  <c r="BE89" i="1"/>
  <c r="BE90" i="1"/>
  <c r="BE91" i="1"/>
  <c r="BE92" i="1"/>
  <c r="BE93" i="1"/>
  <c r="BE94" i="1"/>
  <c r="BE95" i="1"/>
  <c r="BE96" i="1"/>
  <c r="BE97" i="1"/>
  <c r="BE98" i="1"/>
  <c r="BE99" i="1"/>
  <c r="BE100" i="1"/>
  <c r="BE101" i="1"/>
  <c r="BE102" i="1"/>
  <c r="BE103" i="1"/>
  <c r="BE104" i="1"/>
  <c r="BE105" i="1"/>
  <c r="BE106" i="1"/>
  <c r="BE107" i="1"/>
  <c r="BE108" i="1"/>
  <c r="BE109" i="1"/>
  <c r="BE110" i="1"/>
  <c r="BE111" i="1"/>
  <c r="BE112" i="1"/>
  <c r="BE113" i="1"/>
  <c r="BE114" i="1"/>
  <c r="BE115" i="1"/>
  <c r="BE116" i="1"/>
  <c r="BE117" i="1"/>
  <c r="BE118" i="1"/>
  <c r="BE119" i="1"/>
  <c r="BE120" i="1"/>
  <c r="BE121" i="1"/>
  <c r="BE122" i="1"/>
  <c r="BE123" i="1"/>
  <c r="BE124" i="1"/>
  <c r="BE125" i="1"/>
  <c r="BE126" i="1"/>
  <c r="BE127" i="1"/>
  <c r="BE128" i="1"/>
  <c r="BK128" i="1" s="1"/>
  <c r="BE129" i="1"/>
  <c r="BK129" i="1" s="1"/>
  <c r="BE130" i="1"/>
  <c r="BK130" i="1" s="1"/>
  <c r="BE131" i="1"/>
  <c r="BK131" i="1" s="1"/>
  <c r="BE132" i="1"/>
  <c r="BK132" i="1" s="1"/>
  <c r="BE133" i="1"/>
  <c r="BK133" i="1" s="1"/>
  <c r="BE134" i="1"/>
  <c r="BK134" i="1" s="1"/>
  <c r="BE135" i="1"/>
  <c r="BK135" i="1" s="1"/>
  <c r="BE136" i="1"/>
  <c r="BK136" i="1" s="1"/>
  <c r="BE137" i="1"/>
  <c r="BK137" i="1" s="1"/>
  <c r="BE138" i="1"/>
  <c r="BE139" i="1"/>
  <c r="BE140" i="1"/>
  <c r="BE141" i="1"/>
  <c r="BK141" i="1" s="1"/>
  <c r="BE142" i="1"/>
  <c r="BK142" i="1" s="1"/>
  <c r="BE143" i="1"/>
  <c r="BE144" i="1"/>
  <c r="BK144" i="1" s="1"/>
  <c r="BE145" i="1"/>
  <c r="BE146" i="1"/>
  <c r="BE147" i="1"/>
  <c r="BE148" i="1"/>
  <c r="BE149" i="1"/>
  <c r="BE150" i="1"/>
  <c r="BE151" i="1"/>
  <c r="BE152" i="1"/>
  <c r="BE153" i="1"/>
  <c r="BE154" i="1"/>
  <c r="BE155" i="1"/>
  <c r="BE156" i="1"/>
  <c r="BE157" i="1"/>
  <c r="BE158" i="1"/>
  <c r="BE160" i="1"/>
  <c r="BE161" i="1"/>
  <c r="BE162" i="1"/>
  <c r="BE163" i="1"/>
  <c r="BE165" i="1"/>
  <c r="BE166" i="1"/>
  <c r="BE167" i="1"/>
  <c r="BE168" i="1"/>
  <c r="BE170" i="1"/>
  <c r="BE171" i="1"/>
  <c r="BE172" i="1"/>
  <c r="BE173" i="1"/>
  <c r="BE174" i="1"/>
  <c r="BE175" i="1"/>
  <c r="BE176" i="1"/>
  <c r="BE177" i="1"/>
  <c r="BE178" i="1"/>
  <c r="BE179" i="1"/>
  <c r="BE180" i="1"/>
  <c r="BE181" i="1"/>
  <c r="BE182" i="1"/>
  <c r="BE183" i="1"/>
  <c r="BE184" i="1"/>
  <c r="BE185" i="1"/>
  <c r="BE186" i="1"/>
  <c r="BE187" i="1"/>
  <c r="BE188" i="1"/>
  <c r="BE189" i="1"/>
  <c r="BE190" i="1"/>
  <c r="BE191" i="1"/>
  <c r="BE192" i="1"/>
  <c r="BE193" i="1"/>
  <c r="BE194" i="1"/>
  <c r="BE195" i="1"/>
  <c r="BE196" i="1"/>
  <c r="BE197" i="1"/>
  <c r="BE198" i="1"/>
  <c r="BE199" i="1"/>
  <c r="BE200" i="1"/>
  <c r="BE201" i="1"/>
  <c r="BE202" i="1"/>
  <c r="BE203" i="1"/>
  <c r="BE204" i="1"/>
  <c r="BE205" i="1"/>
  <c r="BE206" i="1"/>
  <c r="BE207" i="1"/>
  <c r="BE208" i="1"/>
  <c r="BE209" i="1"/>
  <c r="BE210" i="1"/>
  <c r="BE211" i="1"/>
  <c r="L53" i="39" l="1"/>
  <c r="L49" i="39"/>
  <c r="L56" i="39" s="1"/>
  <c r="L57" i="39" s="1"/>
  <c r="F49" i="39"/>
  <c r="F53" i="39"/>
  <c r="C54" i="39"/>
  <c r="C49" i="39"/>
  <c r="N49" i="39"/>
  <c r="N53" i="39"/>
  <c r="K54" i="39"/>
  <c r="K49" i="39"/>
  <c r="G54" i="39"/>
  <c r="G49" i="39"/>
  <c r="J53" i="39"/>
  <c r="J49" i="39"/>
  <c r="D53" i="39"/>
  <c r="D49" i="39"/>
  <c r="H49" i="39"/>
  <c r="H53" i="39"/>
  <c r="BK156" i="1"/>
  <c r="BL156" i="1"/>
  <c r="BK140" i="1"/>
  <c r="BL140" i="1"/>
  <c r="BK84" i="1"/>
  <c r="BL84" i="1"/>
  <c r="BK60" i="1"/>
  <c r="BL60" i="1"/>
  <c r="BL36" i="1"/>
  <c r="BK36" i="1"/>
  <c r="BL20" i="1"/>
  <c r="BK20" i="1"/>
  <c r="BK172" i="1"/>
  <c r="BL172" i="1"/>
  <c r="BL153" i="1"/>
  <c r="BK153" i="1"/>
  <c r="BL145" i="1"/>
  <c r="BK145" i="1"/>
  <c r="BK113" i="1"/>
  <c r="BL113" i="1"/>
  <c r="BL97" i="1"/>
  <c r="BK97" i="1"/>
  <c r="BL89" i="1"/>
  <c r="BK89" i="1"/>
  <c r="BK81" i="1"/>
  <c r="BL81" i="1"/>
  <c r="BK41" i="1"/>
  <c r="BL41" i="1"/>
  <c r="BK33" i="1"/>
  <c r="BL33" i="1"/>
  <c r="BK25" i="1"/>
  <c r="BL25" i="1"/>
  <c r="BI164" i="1"/>
  <c r="BJ164" i="1"/>
  <c r="BL96" i="1"/>
  <c r="BK96" i="1"/>
  <c r="BK88" i="1"/>
  <c r="BL88" i="1"/>
  <c r="BK80" i="1"/>
  <c r="BL80" i="1"/>
  <c r="BK48" i="1"/>
  <c r="BL48" i="1"/>
  <c r="BK40" i="1"/>
  <c r="BL40" i="1"/>
  <c r="BK32" i="1"/>
  <c r="BL32" i="1"/>
  <c r="BK24" i="1"/>
  <c r="BL24" i="1"/>
  <c r="BI159" i="1"/>
  <c r="BJ159" i="1"/>
  <c r="BK166" i="1"/>
  <c r="BL166" i="1"/>
  <c r="BK116" i="1"/>
  <c r="BL116" i="1"/>
  <c r="BL155" i="1"/>
  <c r="BK155" i="1"/>
  <c r="BL139" i="1"/>
  <c r="BK139" i="1"/>
  <c r="BL59" i="1"/>
  <c r="BK59" i="1"/>
  <c r="BI173" i="1"/>
  <c r="BJ173" i="1"/>
  <c r="BK173" i="1"/>
  <c r="BL173" i="1"/>
  <c r="BL163" i="1"/>
  <c r="BK163" i="1"/>
  <c r="BK154" i="1"/>
  <c r="BL154" i="1"/>
  <c r="BK146" i="1"/>
  <c r="BL146" i="1"/>
  <c r="BK114" i="1"/>
  <c r="BL114" i="1"/>
  <c r="BK98" i="1"/>
  <c r="BL98" i="1"/>
  <c r="BK58" i="1"/>
  <c r="BL58" i="1"/>
  <c r="BI95" i="1"/>
  <c r="BJ95" i="1"/>
  <c r="BL112" i="1"/>
  <c r="BK112" i="1"/>
  <c r="BK170" i="1"/>
  <c r="BL170" i="1"/>
  <c r="BL160" i="1"/>
  <c r="BK160" i="1"/>
  <c r="BK151" i="1"/>
  <c r="BL151" i="1"/>
  <c r="BK119" i="1"/>
  <c r="BL119" i="1"/>
  <c r="BK103" i="1"/>
  <c r="BL103" i="1"/>
  <c r="BK95" i="1"/>
  <c r="BL95" i="1"/>
  <c r="BK87" i="1"/>
  <c r="BL87" i="1"/>
  <c r="BK71" i="1"/>
  <c r="BL71" i="1"/>
  <c r="BK39" i="1"/>
  <c r="BL39" i="1"/>
  <c r="BK31" i="1"/>
  <c r="BL31" i="1"/>
  <c r="BK23" i="1"/>
  <c r="BL23" i="1"/>
  <c r="BJ154" i="1"/>
  <c r="BI154" i="1"/>
  <c r="BK174" i="1"/>
  <c r="BL174" i="1"/>
  <c r="BL115" i="1"/>
  <c r="BK115" i="1"/>
  <c r="BL91" i="1"/>
  <c r="BK91" i="1"/>
  <c r="BK138" i="1"/>
  <c r="BL138" i="1"/>
  <c r="BK90" i="1"/>
  <c r="BL90" i="1"/>
  <c r="BJ169" i="1"/>
  <c r="BI169" i="1"/>
  <c r="BK177" i="1"/>
  <c r="BL177" i="1"/>
  <c r="BK168" i="1"/>
  <c r="BL168" i="1"/>
  <c r="BK158" i="1"/>
  <c r="BL158" i="1"/>
  <c r="BK150" i="1"/>
  <c r="BL150" i="1"/>
  <c r="BK118" i="1"/>
  <c r="BL118" i="1"/>
  <c r="BK102" i="1"/>
  <c r="BL102" i="1"/>
  <c r="BK94" i="1"/>
  <c r="BL94" i="1"/>
  <c r="BL46" i="1"/>
  <c r="BK46" i="1"/>
  <c r="BL38" i="1"/>
  <c r="BK38" i="1"/>
  <c r="BL30" i="1"/>
  <c r="BK30" i="1"/>
  <c r="BL22" i="1"/>
  <c r="BK22" i="1"/>
  <c r="BK175" i="1"/>
  <c r="BL175" i="1"/>
  <c r="BK148" i="1"/>
  <c r="BL148" i="1"/>
  <c r="BK100" i="1"/>
  <c r="BL100" i="1"/>
  <c r="BK92" i="1"/>
  <c r="BL92" i="1"/>
  <c r="BL28" i="1"/>
  <c r="BK28" i="1"/>
  <c r="BK165" i="1"/>
  <c r="BL165" i="1"/>
  <c r="BL147" i="1"/>
  <c r="BK147" i="1"/>
  <c r="BL99" i="1"/>
  <c r="BK99" i="1"/>
  <c r="BL35" i="1"/>
  <c r="BK35" i="1"/>
  <c r="BK82" i="1"/>
  <c r="BL82" i="1"/>
  <c r="BK26" i="1"/>
  <c r="BL26" i="1"/>
  <c r="BL171" i="1"/>
  <c r="BK171" i="1"/>
  <c r="BL161" i="1"/>
  <c r="BK161" i="1"/>
  <c r="BK152" i="1"/>
  <c r="BL152" i="1"/>
  <c r="BL176" i="1"/>
  <c r="BK176" i="1"/>
  <c r="BK167" i="1"/>
  <c r="BL167" i="1"/>
  <c r="BK157" i="1"/>
  <c r="BL157" i="1"/>
  <c r="BK149" i="1"/>
  <c r="BL149" i="1"/>
  <c r="BK117" i="1"/>
  <c r="BL117" i="1"/>
  <c r="BK101" i="1"/>
  <c r="BL101" i="1"/>
  <c r="BK93" i="1"/>
  <c r="BL93" i="1"/>
  <c r="BK37" i="1"/>
  <c r="BL37" i="1"/>
  <c r="BK29" i="1"/>
  <c r="BL29" i="1"/>
  <c r="BK21" i="1"/>
  <c r="BL21" i="1"/>
  <c r="BL49" i="1"/>
  <c r="BK49" i="1"/>
  <c r="BL47" i="1"/>
  <c r="BK47" i="1"/>
  <c r="BL55" i="1"/>
  <c r="BK55" i="1"/>
  <c r="BL53" i="1"/>
  <c r="BK53" i="1"/>
  <c r="BK54" i="1"/>
  <c r="BL54" i="1"/>
  <c r="BP173" i="1"/>
  <c r="BP95" i="1"/>
  <c r="BP154" i="1"/>
  <c r="BC173" i="1"/>
  <c r="BC68" i="1"/>
  <c r="D56" i="39" l="1"/>
  <c r="D57" i="39" s="1"/>
  <c r="N56" i="39"/>
  <c r="N57" i="39" s="1"/>
  <c r="N50" i="39"/>
  <c r="J56" i="39"/>
  <c r="J57" i="39" s="1"/>
  <c r="J50" i="39"/>
  <c r="D50" i="39"/>
  <c r="C56" i="39"/>
  <c r="C57" i="39" s="1"/>
  <c r="G56" i="39"/>
  <c r="G57" i="39" s="1"/>
  <c r="H50" i="39"/>
  <c r="L50" i="39"/>
  <c r="K56" i="39"/>
  <c r="K57" i="39" s="1"/>
  <c r="F56" i="39"/>
  <c r="F57" i="39" s="1"/>
  <c r="F50" i="39"/>
  <c r="H56" i="39"/>
  <c r="H57" i="39" s="1"/>
  <c r="BC124" i="1" l="1"/>
  <c r="G38" i="2" l="1"/>
  <c r="G53" i="1"/>
  <c r="BC42" i="1" l="1"/>
  <c r="BD42" i="1" s="1"/>
  <c r="G39" i="2" l="1"/>
  <c r="BC164" i="1"/>
  <c r="BE164" i="1" s="1"/>
  <c r="BC169" i="1"/>
  <c r="BE169" i="1" s="1"/>
  <c r="BK169" i="1" l="1"/>
  <c r="BL169" i="1"/>
  <c r="BK164" i="1"/>
  <c r="BL164" i="1"/>
  <c r="BO169" i="1"/>
  <c r="BO164" i="1"/>
  <c r="BC186" i="1"/>
  <c r="BD186" i="1" s="1"/>
  <c r="BC187" i="1"/>
  <c r="BD187" i="1" s="1"/>
  <c r="BC188" i="1"/>
  <c r="BD188" i="1" s="1"/>
  <c r="BC189" i="1"/>
  <c r="BD189" i="1" s="1"/>
  <c r="BC190" i="1"/>
  <c r="BD190" i="1" s="1"/>
  <c r="BC191" i="1"/>
  <c r="BD191" i="1" s="1"/>
  <c r="BC192" i="1"/>
  <c r="BD192" i="1" s="1"/>
  <c r="BC193" i="1"/>
  <c r="BD193" i="1" s="1"/>
  <c r="BC194" i="1"/>
  <c r="BD194" i="1" s="1"/>
  <c r="BC195" i="1"/>
  <c r="BD195" i="1" s="1"/>
  <c r="BC196" i="1"/>
  <c r="BD196" i="1" s="1"/>
  <c r="BC197" i="1"/>
  <c r="BD197" i="1" s="1"/>
  <c r="BC198" i="1"/>
  <c r="BD198" i="1" s="1"/>
  <c r="BC199" i="1"/>
  <c r="BD199" i="1" s="1"/>
  <c r="BC200" i="1"/>
  <c r="BD200" i="1" s="1"/>
  <c r="BC201" i="1"/>
  <c r="BD201" i="1" s="1"/>
  <c r="BC202" i="1"/>
  <c r="BD202" i="1" s="1"/>
  <c r="BC203" i="1"/>
  <c r="BD203" i="1" s="1"/>
  <c r="BC204" i="1"/>
  <c r="BD204" i="1" s="1"/>
  <c r="BC205" i="1"/>
  <c r="BD205" i="1" s="1"/>
  <c r="BC206" i="1"/>
  <c r="BD206" i="1" s="1"/>
  <c r="BC207" i="1"/>
  <c r="BD207" i="1" s="1"/>
  <c r="BC208" i="1"/>
  <c r="BD208" i="1" s="1"/>
  <c r="BC209" i="1"/>
  <c r="BD209" i="1" s="1"/>
  <c r="BC210" i="1"/>
  <c r="BD210" i="1" s="1"/>
  <c r="BC211" i="1"/>
  <c r="BD211" i="1" s="1"/>
  <c r="BC212" i="1"/>
  <c r="BC10" i="1" l="1"/>
  <c r="BD10" i="1" s="1"/>
  <c r="BC6" i="1"/>
  <c r="BD6" i="1" s="1"/>
  <c r="BC7" i="1"/>
  <c r="BC8" i="1"/>
  <c r="BD8" i="1" s="1"/>
  <c r="BC16" i="1"/>
  <c r="BC18" i="1"/>
  <c r="BC19" i="1"/>
  <c r="BC51" i="1"/>
  <c r="BC62" i="1"/>
  <c r="BC64" i="1"/>
  <c r="BC67" i="1"/>
  <c r="BD67" i="1" s="1"/>
  <c r="BC74" i="1"/>
  <c r="BC85" i="1"/>
  <c r="BD85" i="1" s="1"/>
  <c r="BC95" i="1"/>
  <c r="BC110" i="1"/>
  <c r="BC120" i="1"/>
  <c r="BD120" i="1" s="1"/>
  <c r="BC126" i="1"/>
  <c r="BC143" i="1"/>
  <c r="BD143" i="1" s="1"/>
  <c r="BC154" i="1"/>
  <c r="BC157" i="1"/>
  <c r="BD157" i="1" s="1"/>
  <c r="BC159" i="1"/>
  <c r="BC162" i="1"/>
  <c r="BD162" i="1" s="1"/>
  <c r="BC168" i="1"/>
  <c r="BD168" i="1" s="1"/>
  <c r="G37" i="2"/>
  <c r="BC185" i="1" s="1"/>
  <c r="BD185" i="1" s="1"/>
  <c r="G36" i="2"/>
  <c r="G35" i="2"/>
  <c r="BC23" i="1" s="1"/>
  <c r="BD23" i="1" s="1"/>
  <c r="G34" i="2"/>
  <c r="BC39" i="1" s="1"/>
  <c r="BD39" i="1" s="1"/>
  <c r="G33" i="2"/>
  <c r="BC55" i="1" s="1"/>
  <c r="BD55" i="1" s="1"/>
  <c r="G32" i="2"/>
  <c r="G31" i="2"/>
  <c r="G30" i="2"/>
  <c r="BC29" i="1" s="1"/>
  <c r="BD29" i="1" s="1"/>
  <c r="G29" i="2"/>
  <c r="G28" i="2"/>
  <c r="G27" i="2"/>
  <c r="BC119" i="1" s="1"/>
  <c r="BD119" i="1" s="1"/>
  <c r="G26" i="2"/>
  <c r="BC128" i="1" s="1"/>
  <c r="G25" i="2"/>
  <c r="BC103" i="1" s="1"/>
  <c r="BD103" i="1" s="1"/>
  <c r="G24" i="2"/>
  <c r="G23" i="2"/>
  <c r="BC65" i="1" s="1"/>
  <c r="BD65" i="1" s="1"/>
  <c r="G22" i="2"/>
  <c r="BC82" i="1" s="1"/>
  <c r="BD82" i="1" s="1"/>
  <c r="G21" i="2"/>
  <c r="G19" i="2"/>
  <c r="G18" i="2"/>
  <c r="G17" i="2"/>
  <c r="BC106" i="1" s="1"/>
  <c r="BD106" i="1" s="1"/>
  <c r="G16" i="2"/>
  <c r="BC5" i="1" s="1"/>
  <c r="BD5" i="1" s="1"/>
  <c r="G15" i="2"/>
  <c r="G14" i="2"/>
  <c r="BC34" i="1" s="1"/>
  <c r="BD34" i="1" s="1"/>
  <c r="BI34" i="1" s="1"/>
  <c r="G13" i="2"/>
  <c r="BC38" i="1" s="1"/>
  <c r="BD38" i="1" s="1"/>
  <c r="BC31" i="1" l="1"/>
  <c r="BD31" i="1" s="1"/>
  <c r="BI31" i="1" s="1"/>
  <c r="BC79" i="1"/>
  <c r="BD79" i="1" s="1"/>
  <c r="BJ79" i="1" s="1"/>
  <c r="BC56" i="1"/>
  <c r="BD56" i="1" s="1"/>
  <c r="BI56" i="1" s="1"/>
  <c r="BC123" i="1"/>
  <c r="BD123" i="1" s="1"/>
  <c r="BC32" i="1"/>
  <c r="BD32" i="1" s="1"/>
  <c r="BC111" i="1"/>
  <c r="BD111" i="1" s="1"/>
  <c r="BC47" i="1"/>
  <c r="BD47" i="1" s="1"/>
  <c r="BI47" i="1" s="1"/>
  <c r="BC101" i="1"/>
  <c r="BD101" i="1" s="1"/>
  <c r="BC57" i="1"/>
  <c r="BD57" i="1" s="1"/>
  <c r="BI57" i="1" s="1"/>
  <c r="BC104" i="1"/>
  <c r="BD104" i="1" s="1"/>
  <c r="BP104" i="1" s="1"/>
  <c r="BC100" i="1"/>
  <c r="BD100" i="1" s="1"/>
  <c r="BC60" i="1"/>
  <c r="BD60" i="1" s="1"/>
  <c r="BC33" i="1"/>
  <c r="BD33" i="1" s="1"/>
  <c r="BJ82" i="1"/>
  <c r="BI82" i="1"/>
  <c r="BJ168" i="1"/>
  <c r="BI168" i="1"/>
  <c r="BJ29" i="1"/>
  <c r="BI29" i="1"/>
  <c r="BI103" i="1"/>
  <c r="BJ103" i="1"/>
  <c r="BJ39" i="1"/>
  <c r="BI39" i="1"/>
  <c r="BI38" i="1"/>
  <c r="BJ38" i="1"/>
  <c r="BI119" i="1"/>
  <c r="BJ119" i="1"/>
  <c r="BJ23" i="1"/>
  <c r="BI23" i="1"/>
  <c r="BI157" i="1"/>
  <c r="BJ157" i="1"/>
  <c r="BI55" i="1"/>
  <c r="BJ55" i="1"/>
  <c r="BP82" i="1"/>
  <c r="BP29" i="1"/>
  <c r="BO168" i="1"/>
  <c r="BP38" i="1"/>
  <c r="BP55" i="1"/>
  <c r="BP103" i="1"/>
  <c r="BP157" i="1"/>
  <c r="BP39" i="1"/>
  <c r="BP119" i="1"/>
  <c r="BP23" i="1"/>
  <c r="BE159" i="1"/>
  <c r="BC4" i="1"/>
  <c r="BD4" i="1" s="1"/>
  <c r="BC91" i="1"/>
  <c r="BD91" i="1" s="1"/>
  <c r="BC142" i="1"/>
  <c r="BD142" i="1" s="1"/>
  <c r="BI142" i="1" s="1"/>
  <c r="BC172" i="1"/>
  <c r="BD172" i="1" s="1"/>
  <c r="BC134" i="1"/>
  <c r="BC182" i="1"/>
  <c r="BD182" i="1" s="1"/>
  <c r="BC150" i="1"/>
  <c r="BD150" i="1" s="1"/>
  <c r="BC109" i="1"/>
  <c r="BC184" i="1"/>
  <c r="BD184" i="1" s="1"/>
  <c r="BC174" i="1"/>
  <c r="BD174" i="1" s="1"/>
  <c r="BC53" i="1"/>
  <c r="BD53" i="1" s="1"/>
  <c r="BC183" i="1"/>
  <c r="BD183" i="1" s="1"/>
  <c r="BC37" i="1"/>
  <c r="BD37" i="1" s="1"/>
  <c r="BC181" i="1"/>
  <c r="BD181" i="1" s="1"/>
  <c r="BC77" i="1"/>
  <c r="BC27" i="1"/>
  <c r="BD27" i="1" s="1"/>
  <c r="BI27" i="1" s="1"/>
  <c r="BC180" i="1"/>
  <c r="BD180" i="1" s="1"/>
  <c r="BC179" i="1"/>
  <c r="BD179" i="1" s="1"/>
  <c r="BC117" i="1"/>
  <c r="BD117" i="1" s="1"/>
  <c r="BC178" i="1"/>
  <c r="BD178" i="1" s="1"/>
  <c r="BC44" i="1"/>
  <c r="BD44" i="1" s="1"/>
  <c r="BO44" i="1" s="1"/>
  <c r="BC166" i="1"/>
  <c r="BD166" i="1" s="1"/>
  <c r="BC170" i="1"/>
  <c r="BD170" i="1" s="1"/>
  <c r="BC160" i="1"/>
  <c r="BD160" i="1" s="1"/>
  <c r="BC99" i="1"/>
  <c r="BD99" i="1" s="1"/>
  <c r="BC171" i="1"/>
  <c r="BD171" i="1" s="1"/>
  <c r="BC158" i="1"/>
  <c r="BD158" i="1" s="1"/>
  <c r="BC151" i="1"/>
  <c r="BD151" i="1" s="1"/>
  <c r="BC135" i="1"/>
  <c r="BD135" i="1" s="1"/>
  <c r="BI135" i="1" s="1"/>
  <c r="BC127" i="1"/>
  <c r="BD127" i="1" s="1"/>
  <c r="BC118" i="1"/>
  <c r="BD118" i="1" s="1"/>
  <c r="BC92" i="1"/>
  <c r="BD92" i="1" s="1"/>
  <c r="BC84" i="1"/>
  <c r="BD84" i="1" s="1"/>
  <c r="BC45" i="1"/>
  <c r="BD45" i="1" s="1"/>
  <c r="BO45" i="1" s="1"/>
  <c r="BC70" i="1"/>
  <c r="BD70" i="1" s="1"/>
  <c r="BC63" i="1"/>
  <c r="BD63" i="1" s="1"/>
  <c r="BC54" i="1"/>
  <c r="BD54" i="1" s="1"/>
  <c r="BC28" i="1"/>
  <c r="BD28" i="1" s="1"/>
  <c r="BC22" i="1"/>
  <c r="BD22" i="1" s="1"/>
  <c r="BC15" i="1"/>
  <c r="BC167" i="1"/>
  <c r="BD167" i="1" s="1"/>
  <c r="BC156" i="1"/>
  <c r="BD156" i="1" s="1"/>
  <c r="BC149" i="1"/>
  <c r="BC141" i="1"/>
  <c r="BC133" i="1"/>
  <c r="BD133" i="1" s="1"/>
  <c r="BI133" i="1" s="1"/>
  <c r="BC125" i="1"/>
  <c r="BD125" i="1" s="1"/>
  <c r="BC116" i="1"/>
  <c r="BC108" i="1"/>
  <c r="BD108" i="1" s="1"/>
  <c r="BC98" i="1"/>
  <c r="BD98" i="1" s="1"/>
  <c r="BC90" i="1"/>
  <c r="BD90" i="1" s="1"/>
  <c r="BC43" i="1"/>
  <c r="BD43" i="1" s="1"/>
  <c r="BO43" i="1" s="1"/>
  <c r="BC76" i="1"/>
  <c r="BD76" i="1" s="1"/>
  <c r="BJ76" i="1" s="1"/>
  <c r="BC61" i="1"/>
  <c r="BC52" i="1"/>
  <c r="BC26" i="1"/>
  <c r="BC20" i="1"/>
  <c r="BD20" i="1" s="1"/>
  <c r="BC13" i="1"/>
  <c r="BC83" i="1"/>
  <c r="BD83" i="1" s="1"/>
  <c r="BI83" i="1" s="1"/>
  <c r="BC14" i="1"/>
  <c r="BD14" i="1" s="1"/>
  <c r="BC176" i="1"/>
  <c r="BC165" i="1"/>
  <c r="BD165" i="1" s="1"/>
  <c r="BC155" i="1"/>
  <c r="BD155" i="1" s="1"/>
  <c r="BC148" i="1"/>
  <c r="BD148" i="1" s="1"/>
  <c r="BC140" i="1"/>
  <c r="BC132" i="1"/>
  <c r="BC115" i="1"/>
  <c r="BD115" i="1" s="1"/>
  <c r="BC107" i="1"/>
  <c r="BD107" i="1" s="1"/>
  <c r="BC97" i="1"/>
  <c r="BD97" i="1" s="1"/>
  <c r="BC89" i="1"/>
  <c r="BD89" i="1" s="1"/>
  <c r="BC81" i="1"/>
  <c r="BD81" i="1" s="1"/>
  <c r="BC41" i="1"/>
  <c r="BD41" i="1" s="1"/>
  <c r="BC75" i="1"/>
  <c r="BD75" i="1" s="1"/>
  <c r="BJ75" i="1" s="1"/>
  <c r="BC59" i="1"/>
  <c r="BD59" i="1" s="1"/>
  <c r="BC36" i="1"/>
  <c r="BD36" i="1" s="1"/>
  <c r="BC12" i="1"/>
  <c r="BD12" i="1" s="1"/>
  <c r="BC69" i="1"/>
  <c r="BD69" i="1" s="1"/>
  <c r="BC175" i="1"/>
  <c r="BD175" i="1" s="1"/>
  <c r="BC163" i="1"/>
  <c r="BD163" i="1" s="1"/>
  <c r="BC147" i="1"/>
  <c r="BD147" i="1" s="1"/>
  <c r="BC139" i="1"/>
  <c r="BD139" i="1" s="1"/>
  <c r="BC131" i="1"/>
  <c r="BD131" i="1" s="1"/>
  <c r="BI131" i="1" s="1"/>
  <c r="BC122" i="1"/>
  <c r="BD122" i="1" s="1"/>
  <c r="BC114" i="1"/>
  <c r="BD114" i="1" s="1"/>
  <c r="BC96" i="1"/>
  <c r="BD96" i="1" s="1"/>
  <c r="BC88" i="1"/>
  <c r="BD88" i="1" s="1"/>
  <c r="BC80" i="1"/>
  <c r="BD80" i="1" s="1"/>
  <c r="BC177" i="1"/>
  <c r="BD177" i="1" s="1"/>
  <c r="BC58" i="1"/>
  <c r="BD58" i="1" s="1"/>
  <c r="BC50" i="1"/>
  <c r="BD50" i="1" s="1"/>
  <c r="BC35" i="1"/>
  <c r="BD35" i="1" s="1"/>
  <c r="BC11" i="1"/>
  <c r="BC21" i="1"/>
  <c r="BD21" i="1" s="1"/>
  <c r="BC146" i="1"/>
  <c r="BD146" i="1" s="1"/>
  <c r="BC138" i="1"/>
  <c r="BC130" i="1"/>
  <c r="BD130" i="1" s="1"/>
  <c r="BI130" i="1" s="1"/>
  <c r="BC121" i="1"/>
  <c r="BC113" i="1"/>
  <c r="BD113" i="1" s="1"/>
  <c r="BC105" i="1"/>
  <c r="BD105" i="1" s="1"/>
  <c r="BC87" i="1"/>
  <c r="BC78" i="1"/>
  <c r="BD78" i="1" s="1"/>
  <c r="BJ78" i="1" s="1"/>
  <c r="BC40" i="1"/>
  <c r="BD40" i="1" s="1"/>
  <c r="BC73" i="1"/>
  <c r="BD73" i="1" s="1"/>
  <c r="BC66" i="1"/>
  <c r="BD66" i="1" s="1"/>
  <c r="BC49" i="1"/>
  <c r="BD49" i="1" s="1"/>
  <c r="BC25" i="1"/>
  <c r="BD25" i="1" s="1"/>
  <c r="BC9" i="1"/>
  <c r="BD9" i="1" s="1"/>
  <c r="BC161" i="1"/>
  <c r="BD161" i="1" s="1"/>
  <c r="BC153" i="1"/>
  <c r="BD153" i="1" s="1"/>
  <c r="BC145" i="1"/>
  <c r="BD145" i="1" s="1"/>
  <c r="BC137" i="1"/>
  <c r="BD137" i="1" s="1"/>
  <c r="BI137" i="1" s="1"/>
  <c r="BC129" i="1"/>
  <c r="BD129" i="1" s="1"/>
  <c r="BI129" i="1" s="1"/>
  <c r="BC112" i="1"/>
  <c r="BC94" i="1"/>
  <c r="BD94" i="1" s="1"/>
  <c r="BC86" i="1"/>
  <c r="BD86" i="1" s="1"/>
  <c r="BI86" i="1" s="1"/>
  <c r="BC72" i="1"/>
  <c r="BD72" i="1" s="1"/>
  <c r="BC48" i="1"/>
  <c r="BD48" i="1" s="1"/>
  <c r="BC30" i="1"/>
  <c r="BD30" i="1" s="1"/>
  <c r="BC24" i="1"/>
  <c r="BD24" i="1" s="1"/>
  <c r="BC17" i="1"/>
  <c r="BD17" i="1" s="1"/>
  <c r="BC152" i="1"/>
  <c r="BD152" i="1" s="1"/>
  <c r="BC144" i="1"/>
  <c r="BD144" i="1" s="1"/>
  <c r="BI144" i="1" s="1"/>
  <c r="BC136" i="1"/>
  <c r="BD136" i="1" s="1"/>
  <c r="BI136" i="1" s="1"/>
  <c r="BC102" i="1"/>
  <c r="BD102" i="1" s="1"/>
  <c r="BC93" i="1"/>
  <c r="BD93" i="1" s="1"/>
  <c r="BC46" i="1"/>
  <c r="BD46" i="1" s="1"/>
  <c r="BC71" i="1"/>
  <c r="BD71" i="1" s="1"/>
  <c r="G77" i="1"/>
  <c r="BJ31" i="1" l="1"/>
  <c r="BP31" i="1"/>
  <c r="BP47" i="1"/>
  <c r="BJ47" i="1"/>
  <c r="BD77" i="1"/>
  <c r="BJ77" i="1" s="1"/>
  <c r="BJ101" i="1"/>
  <c r="BI101" i="1"/>
  <c r="BP101" i="1"/>
  <c r="BI33" i="1"/>
  <c r="BP33" i="1"/>
  <c r="BJ33" i="1"/>
  <c r="BJ32" i="1"/>
  <c r="BP32" i="1"/>
  <c r="BI32" i="1"/>
  <c r="BI60" i="1"/>
  <c r="BJ60" i="1"/>
  <c r="BP60" i="1"/>
  <c r="BP100" i="1"/>
  <c r="BI100" i="1"/>
  <c r="BJ100" i="1"/>
  <c r="BJ46" i="1"/>
  <c r="BI46" i="1"/>
  <c r="BJ88" i="1"/>
  <c r="BI88" i="1"/>
  <c r="BJ153" i="1"/>
  <c r="BI153" i="1"/>
  <c r="BI21" i="1"/>
  <c r="BJ21" i="1"/>
  <c r="BJ96" i="1"/>
  <c r="BI96" i="1"/>
  <c r="BJ97" i="1"/>
  <c r="BI97" i="1"/>
  <c r="BI151" i="1"/>
  <c r="BJ151" i="1"/>
  <c r="BI37" i="1"/>
  <c r="BJ37" i="1"/>
  <c r="BI40" i="1"/>
  <c r="BJ40" i="1"/>
  <c r="BJ102" i="1"/>
  <c r="BI102" i="1"/>
  <c r="BJ161" i="1"/>
  <c r="BI161" i="1"/>
  <c r="BJ114" i="1"/>
  <c r="BI114" i="1"/>
  <c r="BJ158" i="1"/>
  <c r="BI158" i="1"/>
  <c r="BI172" i="1"/>
  <c r="BJ172" i="1"/>
  <c r="BJ30" i="1"/>
  <c r="BI30" i="1"/>
  <c r="BJ93" i="1"/>
  <c r="BI93" i="1"/>
  <c r="BJ35" i="1"/>
  <c r="BI35" i="1"/>
  <c r="BJ36" i="1"/>
  <c r="BI36" i="1"/>
  <c r="BI115" i="1"/>
  <c r="BJ115" i="1"/>
  <c r="BJ90" i="1"/>
  <c r="BI90" i="1"/>
  <c r="BI156" i="1"/>
  <c r="BJ156" i="1"/>
  <c r="BI171" i="1"/>
  <c r="BJ171" i="1"/>
  <c r="BJ117" i="1"/>
  <c r="BI117" i="1"/>
  <c r="BJ146" i="1"/>
  <c r="BI146" i="1"/>
  <c r="BJ48" i="1"/>
  <c r="BI48" i="1"/>
  <c r="BJ94" i="1"/>
  <c r="BI94" i="1"/>
  <c r="BJ25" i="1"/>
  <c r="BI25" i="1"/>
  <c r="BJ113" i="1"/>
  <c r="BI113" i="1"/>
  <c r="BJ59" i="1"/>
  <c r="BI59" i="1"/>
  <c r="BJ98" i="1"/>
  <c r="BI98" i="1"/>
  <c r="BI167" i="1"/>
  <c r="BJ167" i="1"/>
  <c r="BI84" i="1"/>
  <c r="BJ84" i="1"/>
  <c r="BI99" i="1"/>
  <c r="BJ99" i="1"/>
  <c r="BJ174" i="1"/>
  <c r="BI174" i="1"/>
  <c r="BJ91" i="1"/>
  <c r="BI91" i="1"/>
  <c r="BJ139" i="1"/>
  <c r="BI139" i="1"/>
  <c r="BJ20" i="1"/>
  <c r="BI20" i="1"/>
  <c r="BI92" i="1"/>
  <c r="BJ92" i="1"/>
  <c r="BJ160" i="1"/>
  <c r="BI160" i="1"/>
  <c r="BJ152" i="1"/>
  <c r="BI152" i="1"/>
  <c r="BI58" i="1"/>
  <c r="BJ58" i="1"/>
  <c r="BJ177" i="1"/>
  <c r="BI177" i="1"/>
  <c r="BI147" i="1"/>
  <c r="BJ147" i="1"/>
  <c r="BJ41" i="1"/>
  <c r="BI41" i="1"/>
  <c r="BJ148" i="1"/>
  <c r="BI148" i="1"/>
  <c r="BJ22" i="1"/>
  <c r="BI22" i="1"/>
  <c r="BJ118" i="1"/>
  <c r="BI118" i="1"/>
  <c r="BJ170" i="1"/>
  <c r="BI170" i="1"/>
  <c r="BK159" i="1"/>
  <c r="BL159" i="1"/>
  <c r="BI71" i="1"/>
  <c r="BJ71" i="1"/>
  <c r="BJ24" i="1"/>
  <c r="BI24" i="1"/>
  <c r="BI80" i="1"/>
  <c r="BJ80" i="1"/>
  <c r="BI163" i="1"/>
  <c r="BJ163" i="1"/>
  <c r="BI81" i="1"/>
  <c r="BJ81" i="1"/>
  <c r="BI155" i="1"/>
  <c r="BJ155" i="1"/>
  <c r="BJ28" i="1"/>
  <c r="BI28" i="1"/>
  <c r="BJ166" i="1"/>
  <c r="BI166" i="1"/>
  <c r="BJ150" i="1"/>
  <c r="BI150" i="1"/>
  <c r="BJ145" i="1"/>
  <c r="BI145" i="1"/>
  <c r="BI175" i="1"/>
  <c r="BJ175" i="1"/>
  <c r="BJ89" i="1"/>
  <c r="BI89" i="1"/>
  <c r="BI165" i="1"/>
  <c r="BJ165" i="1"/>
  <c r="BJ49" i="1"/>
  <c r="BI49" i="1"/>
  <c r="BJ53" i="1"/>
  <c r="BI53" i="1"/>
  <c r="BJ54" i="1"/>
  <c r="BI54" i="1"/>
  <c r="BP115" i="1"/>
  <c r="BP156" i="1"/>
  <c r="BP117" i="1"/>
  <c r="BP53" i="1"/>
  <c r="BP144" i="1"/>
  <c r="BP94" i="1"/>
  <c r="BP25" i="1"/>
  <c r="BP113" i="1"/>
  <c r="BP131" i="1"/>
  <c r="BP59" i="1"/>
  <c r="BP98" i="1"/>
  <c r="BO167" i="1"/>
  <c r="BP84" i="1"/>
  <c r="BP99" i="1"/>
  <c r="BP174" i="1"/>
  <c r="BP91" i="1"/>
  <c r="BP36" i="1"/>
  <c r="BP90" i="1"/>
  <c r="BO171" i="1"/>
  <c r="BP152" i="1"/>
  <c r="BP49" i="1"/>
  <c r="BP58" i="1"/>
  <c r="BP139" i="1"/>
  <c r="BP75" i="1"/>
  <c r="BP20" i="1"/>
  <c r="BP92" i="1"/>
  <c r="BO160" i="1"/>
  <c r="BP35" i="1"/>
  <c r="BP129" i="1"/>
  <c r="BP130" i="1"/>
  <c r="BP177" i="1"/>
  <c r="BP147" i="1"/>
  <c r="BP41" i="1"/>
  <c r="BP148" i="1"/>
  <c r="BP22" i="1"/>
  <c r="BP118" i="1"/>
  <c r="BO170" i="1"/>
  <c r="BO159" i="1"/>
  <c r="BP71" i="1"/>
  <c r="BP80" i="1"/>
  <c r="BP81" i="1"/>
  <c r="BP28" i="1"/>
  <c r="BO166" i="1"/>
  <c r="BP150" i="1"/>
  <c r="BP24" i="1"/>
  <c r="BP163" i="1"/>
  <c r="BP155" i="1"/>
  <c r="BP46" i="1"/>
  <c r="BP30" i="1"/>
  <c r="BP145" i="1"/>
  <c r="BP40" i="1"/>
  <c r="BP146" i="1"/>
  <c r="BP88" i="1"/>
  <c r="BP175" i="1"/>
  <c r="BP89" i="1"/>
  <c r="BO165" i="1"/>
  <c r="BP54" i="1"/>
  <c r="BP135" i="1"/>
  <c r="BP93" i="1"/>
  <c r="BP48" i="1"/>
  <c r="BP153" i="1"/>
  <c r="BP21" i="1"/>
  <c r="BP97" i="1"/>
  <c r="BP151" i="1"/>
  <c r="BP37" i="1"/>
  <c r="BP136" i="1"/>
  <c r="BP96" i="1"/>
  <c r="BP76" i="1"/>
  <c r="BP102" i="1"/>
  <c r="BO161" i="1"/>
  <c r="BP114" i="1"/>
  <c r="BO158" i="1"/>
  <c r="BP172" i="1"/>
  <c r="G109" i="1"/>
  <c r="BD109" i="1" s="1"/>
  <c r="BP77" i="1" l="1"/>
  <c r="G26" i="1"/>
  <c r="G176" i="1"/>
  <c r="BD176" i="1" s="1"/>
  <c r="G149" i="1"/>
  <c r="G141" i="1"/>
  <c r="G140" i="1"/>
  <c r="G138" i="1"/>
  <c r="G134" i="1"/>
  <c r="G132" i="1"/>
  <c r="BD132" i="1" s="1"/>
  <c r="BI132" i="1" s="1"/>
  <c r="G128" i="1"/>
  <c r="BD128" i="1" s="1"/>
  <c r="BI128" i="1" s="1"/>
  <c r="G116" i="1"/>
  <c r="G112" i="1"/>
  <c r="G87" i="1"/>
  <c r="BJ176" i="1" l="1"/>
  <c r="BI176" i="1"/>
  <c r="BP132" i="1"/>
  <c r="BP176" i="1"/>
  <c r="BP128" i="1"/>
  <c r="BD26" i="1"/>
  <c r="BD116" i="1"/>
  <c r="BD134" i="1"/>
  <c r="BI134" i="1" s="1"/>
  <c r="BD138" i="1"/>
  <c r="BD140" i="1"/>
  <c r="BD141" i="1"/>
  <c r="BI141" i="1" s="1"/>
  <c r="BD87" i="1"/>
  <c r="BD112" i="1"/>
  <c r="BD149" i="1"/>
  <c r="BJ138" i="1" l="1"/>
  <c r="BI138" i="1"/>
  <c r="BJ116" i="1"/>
  <c r="BI116" i="1"/>
  <c r="BJ26" i="1"/>
  <c r="BI26" i="1"/>
  <c r="BJ149" i="1"/>
  <c r="BI149" i="1"/>
  <c r="BJ112" i="1"/>
  <c r="BI112" i="1"/>
  <c r="BI87" i="1"/>
  <c r="BJ87" i="1"/>
  <c r="BI140" i="1"/>
  <c r="BJ140" i="1"/>
  <c r="BP149" i="1"/>
  <c r="BP26" i="1"/>
  <c r="BP116" i="1"/>
  <c r="BP87" i="1"/>
  <c r="BP112" i="1"/>
  <c r="BP140" i="1"/>
  <c r="BP138" i="1"/>
</calcChain>
</file>

<file path=xl/sharedStrings.xml><?xml version="1.0" encoding="utf-8"?>
<sst xmlns="http://schemas.openxmlformats.org/spreadsheetml/2006/main" count="2736" uniqueCount="772">
  <si>
    <t>Type of Provision</t>
  </si>
  <si>
    <t>From</t>
  </si>
  <si>
    <t>To</t>
  </si>
  <si>
    <t>Length</t>
  </si>
  <si>
    <t>Corridor</t>
  </si>
  <si>
    <t>Drawing Number</t>
  </si>
  <si>
    <t>Stakeholder Support</t>
  </si>
  <si>
    <t>Halifax to Holmfield</t>
  </si>
  <si>
    <t>Segment Ref</t>
  </si>
  <si>
    <t>Administrative Area</t>
  </si>
  <si>
    <t>Buildability</t>
  </si>
  <si>
    <t>Poor Coherence</t>
  </si>
  <si>
    <t>Indirect</t>
  </si>
  <si>
    <t>Unattractive</t>
  </si>
  <si>
    <t>Safety Issues</t>
  </si>
  <si>
    <t>ü</t>
  </si>
  <si>
    <t>Uncomfortable</t>
  </si>
  <si>
    <t>H101</t>
  </si>
  <si>
    <t>H102</t>
  </si>
  <si>
    <t>H103</t>
  </si>
  <si>
    <t>H104</t>
  </si>
  <si>
    <t>H105</t>
  </si>
  <si>
    <t>H107</t>
  </si>
  <si>
    <t>H108</t>
  </si>
  <si>
    <t>H109</t>
  </si>
  <si>
    <t>H112</t>
  </si>
  <si>
    <t>H114</t>
  </si>
  <si>
    <t>H115</t>
  </si>
  <si>
    <t>H116</t>
  </si>
  <si>
    <t>H117</t>
  </si>
  <si>
    <t>H119</t>
  </si>
  <si>
    <t>H122</t>
  </si>
  <si>
    <t>H123</t>
  </si>
  <si>
    <t>H125</t>
  </si>
  <si>
    <t>H126</t>
  </si>
  <si>
    <t>H128</t>
  </si>
  <si>
    <t>H204</t>
  </si>
  <si>
    <t>H207</t>
  </si>
  <si>
    <t>H210</t>
  </si>
  <si>
    <t>H211</t>
  </si>
  <si>
    <t>H213</t>
  </si>
  <si>
    <t>H214</t>
  </si>
  <si>
    <t>H215</t>
  </si>
  <si>
    <t>H217</t>
  </si>
  <si>
    <t>B101</t>
  </si>
  <si>
    <t>B104</t>
  </si>
  <si>
    <t>B108</t>
  </si>
  <si>
    <t>B112</t>
  </si>
  <si>
    <t>B114</t>
  </si>
  <si>
    <t>B115</t>
  </si>
  <si>
    <t>B117</t>
  </si>
  <si>
    <t>B118</t>
  </si>
  <si>
    <t>B119</t>
  </si>
  <si>
    <t>B201</t>
  </si>
  <si>
    <t>B205</t>
  </si>
  <si>
    <t>B114a</t>
  </si>
  <si>
    <t>B123</t>
  </si>
  <si>
    <t>K101</t>
  </si>
  <si>
    <t>K104</t>
  </si>
  <si>
    <t>K105</t>
  </si>
  <si>
    <t>K106</t>
  </si>
  <si>
    <t>K109</t>
  </si>
  <si>
    <t>K110</t>
  </si>
  <si>
    <t>K112</t>
  </si>
  <si>
    <t>K114</t>
  </si>
  <si>
    <t>K115</t>
  </si>
  <si>
    <t>K116</t>
  </si>
  <si>
    <t>K119</t>
  </si>
  <si>
    <t>K120</t>
  </si>
  <si>
    <t>K124</t>
  </si>
  <si>
    <t>K127</t>
  </si>
  <si>
    <t>K128</t>
  </si>
  <si>
    <t>K130</t>
  </si>
  <si>
    <t>K137</t>
  </si>
  <si>
    <t>K138</t>
  </si>
  <si>
    <t>K141</t>
  </si>
  <si>
    <t>K142</t>
  </si>
  <si>
    <t>K143</t>
  </si>
  <si>
    <t>K144</t>
  </si>
  <si>
    <t>K147</t>
  </si>
  <si>
    <t>K130a</t>
  </si>
  <si>
    <t>K148</t>
  </si>
  <si>
    <t>Improved existing traffic free route</t>
  </si>
  <si>
    <t xml:space="preserve">B117 </t>
  </si>
  <si>
    <t xml:space="preserve">Halifax to Holmfield: Highway Option </t>
  </si>
  <si>
    <t xml:space="preserve">West Bradford: Clayton Option </t>
  </si>
  <si>
    <t xml:space="preserve">West Bradford: Thornton Option </t>
  </si>
  <si>
    <t xml:space="preserve">Keighley to Cullingworth </t>
  </si>
  <si>
    <t>Halifax to Holmfield: Greenway Option</t>
  </si>
  <si>
    <t xml:space="preserve">Alpine Option </t>
  </si>
  <si>
    <t xml:space="preserve">Tunnel Option </t>
  </si>
  <si>
    <t xml:space="preserve">Cullingworth to Queensbury </t>
  </si>
  <si>
    <t>Compliance</t>
  </si>
  <si>
    <t>Summarised Challenges/Opportunities</t>
  </si>
  <si>
    <t>Provision developed by others: 
- Contraflow cycle lane (southbound)
- Cycling in mixed traffic (northbound)</t>
  </si>
  <si>
    <t>- Provision dependent on A629 Halifax Town Centre scheme (WY+)</t>
  </si>
  <si>
    <t>- Provision dependent on Halifax Railway Station (TCF, WY+)</t>
  </si>
  <si>
    <t>- 3m wide traffic free route</t>
  </si>
  <si>
    <t xml:space="preserve">- Cycling in mixed traffic environment </t>
  </si>
  <si>
    <t xml:space="preserve">- Provision as described in TCF - funded Improved Halifax Streets for People, Zones 2, 4, 5, 6.
- Delivery and quality dependent on third party. 
- Opportunity to connect strategic settlements into wider route provision. 
- Opportunity for continuous footway across side roads for whole length of Ovenden Way and Cousin Lane. 
- Risk that key junction existing between Ovenden Way and Cousin Lane remains unchanged. </t>
  </si>
  <si>
    <t xml:space="preserve">B205 </t>
  </si>
  <si>
    <t>- Provision developed by others</t>
  </si>
  <si>
    <t xml:space="preserve">K126 </t>
  </si>
  <si>
    <t xml:space="preserve">K130 </t>
  </si>
  <si>
    <t xml:space="preserve">- Local nature reserve. Additional ecological survey may be required and need for mitigation measures possible. </t>
  </si>
  <si>
    <t xml:space="preserve">- Provision as described in TCF - Thornton Road Scheme.
- Delivery and quality dependent on third party. 
- Opportunity for continuous footway across side roads for length of Thornton Road. 
- Risk that identified pinch points reduce standard of overall link. Minimum segregated cycle track required along whole link due to volume and nature of traffic environment on Thornton Road. </t>
  </si>
  <si>
    <t>- requires upgrading from footpath to bridleway 
- known ecological constraints will require full survey and likely mitigation. 
- known ecological constraints likely to limit available width for path without compensation
- access for construction likely to be challenging - may have implications on construction methods and costs and programme</t>
  </si>
  <si>
    <t>- provision forms part of existing planning permission for development.
- Delivery standard dependent on third party</t>
  </si>
  <si>
    <t xml:space="preserve">- Route passes through private land. Ownerships known. Previously negotiation. 
- required upgrading to bridleway. Upgrade request already in pace. </t>
  </si>
  <si>
    <t>H113</t>
  </si>
  <si>
    <t>-</t>
  </si>
  <si>
    <t>- Cobbled and some gradient but for a short distance only. Low traffic volume expected.</t>
  </si>
  <si>
    <t>H115a</t>
  </si>
  <si>
    <t>H216</t>
  </si>
  <si>
    <t xml:space="preserve">- Parallel crossing over Water Lane </t>
  </si>
  <si>
    <t>Assumed funded by others</t>
  </si>
  <si>
    <t>H110</t>
  </si>
  <si>
    <t>H118</t>
  </si>
  <si>
    <t xml:space="preserve">H209  </t>
  </si>
  <si>
    <t xml:space="preserve">- Signal-controlled crossing over Brow Lane
- Extension of 20mph from junction of Holdsworth Road to east of crossing point. </t>
  </si>
  <si>
    <t>H127</t>
  </si>
  <si>
    <t xml:space="preserve">H128 </t>
  </si>
  <si>
    <t>- Minor junction improvements at Brighouse Road/High Street/Sandbeds</t>
  </si>
  <si>
    <t xml:space="preserve">- Upgrade puffin crossing to toucan crossing at Station Road. </t>
  </si>
  <si>
    <t xml:space="preserve">B116 </t>
  </si>
  <si>
    <t>H212</t>
  </si>
  <si>
    <t>H120</t>
  </si>
  <si>
    <t xml:space="preserve">H120 </t>
  </si>
  <si>
    <t>H121</t>
  </si>
  <si>
    <t>- Route passes through private land. Ownership is unknown.</t>
  </si>
  <si>
    <t>H124</t>
  </si>
  <si>
    <t xml:space="preserve">H124 </t>
  </si>
  <si>
    <t xml:space="preserve">- 3m wide traffic free route </t>
  </si>
  <si>
    <t xml:space="preserve">- Resurfacing existing track </t>
  </si>
  <si>
    <t xml:space="preserve">B118 </t>
  </si>
  <si>
    <t>B120</t>
  </si>
  <si>
    <t>B121</t>
  </si>
  <si>
    <t>B122</t>
  </si>
  <si>
    <t>- Shared use footway on east of Ovenden Way, to link to existing crossing point location</t>
  </si>
  <si>
    <t xml:space="preserve">H118 </t>
  </si>
  <si>
    <t>- Traffic Free Route to be resurfaced</t>
  </si>
  <si>
    <t>- Cycling in mixed traffic environment</t>
  </si>
  <si>
    <t>- Junction reconfiguration at Old Mill Dam Lane/Brighouse Road
- Protected space for cycle turning right between Brighouse Road and Old Mill Dam Lane
- Reduced corner radii on all arms of the junction
- Controlled crossing points provided across Brighouse Road</t>
  </si>
  <si>
    <t>- One-way stepped cycle tracks</t>
  </si>
  <si>
    <t>Provision developed by others: 
- Mixture of shared walking and cycling and two-way cycle track between Broad Street to Shroggs Road (zone 6) 
- Shared cycling and walking path alongside A629 Ovenden Road (Zone 5) 
- One way cycle track on Ovenden Way (Zone 4)
- Two way cycle track on west side of Cousin Lane (Zone 6)
- 3 junction improvements on Cousin Lane</t>
  </si>
  <si>
    <t>H209</t>
  </si>
  <si>
    <t>- New controlled crossing over Keighley Road (&gt;10,000 AADT)
- Existing pedestrian refuge to be removed and kerb line on western side of Keighley Road built out to provide waiting area for pedestrian areas / cycles.
- Corner radii reduced on Beechwood Road</t>
  </si>
  <si>
    <t>- Cycling in mixed traffic environment. 
- Residential streets (Beechwood Road)</t>
  </si>
  <si>
    <t>- Traffic volumes on Beechwood Road unknown. Traffic survey may indicate need for additional measures to reduce traffic volume and/or speed to comply with LTN1/20. This may introduce additional cost.
- Additional traffic calming measures may be required.
- Opportunity to link Beechwood Park to TCF provision</t>
  </si>
  <si>
    <t>- Cycling in mixed traffic environment 
- Surface improvements</t>
  </si>
  <si>
    <t>- Upgrade existing zebra crossing to Toucan crossing and relocate closer to the desire line
- Reduced corner radii on Holdsworth Road</t>
  </si>
  <si>
    <t>- Extend parking restrictions on Holdsworth Road
- Reduce speed limit to 20mph</t>
  </si>
  <si>
    <t>B102</t>
  </si>
  <si>
    <t>B103</t>
  </si>
  <si>
    <t>B109</t>
  </si>
  <si>
    <t>B105</t>
  </si>
  <si>
    <t>B116</t>
  </si>
  <si>
    <t>Shared use footway between Town End Road and The Avenue</t>
  </si>
  <si>
    <t>- One-way stepped cycle tracks on either side of the carriageway
- Parking restrictions along entire length of The Avenue</t>
  </si>
  <si>
    <t xml:space="preserve">- Junction reconfiguration
- Mini-roundabout replaced by a T-junction to improve safety for cycles and provide improve crossings / access between sections of cycle infrastructure </t>
  </si>
  <si>
    <t>- Footway build out on western side of carriageway to create 3m wide shared use space</t>
  </si>
  <si>
    <t>- Cycling in mixed traffic environment 
- Improved traffic calming measures may be required</t>
  </si>
  <si>
    <t>B110</t>
  </si>
  <si>
    <t>B111</t>
  </si>
  <si>
    <t>- Ownership not known
- Option would require further investigation</t>
  </si>
  <si>
    <t>B202</t>
  </si>
  <si>
    <t>- As per tunnel.
- Drainage - wide boards currently placed across track, sloshing water audible below them.</t>
  </si>
  <si>
    <t>B101a</t>
  </si>
  <si>
    <t>- Aligned round edge of recreation ground
- Ownership not known</t>
  </si>
  <si>
    <t>K107</t>
  </si>
  <si>
    <t>K108</t>
  </si>
  <si>
    <t>K111</t>
  </si>
  <si>
    <t>K118</t>
  </si>
  <si>
    <t>- Low visibility approaching crossing from Turf Lane due to large wall blocking view eastwards. Warning signage req. Low traffic flow expected.</t>
  </si>
  <si>
    <t>- Existing NCN. 
- Some tree loss expected especially if widening more than 1m.
- K122-K123 (315m) is Hewenden Viaduct - no obvious improvements required other then removal of barrier at south end.</t>
  </si>
  <si>
    <t>K125</t>
  </si>
  <si>
    <t>K126</t>
  </si>
  <si>
    <t>- Earthworks required. 
- Sustrans/RPL own part/all of old rail land. 
- Shared use path would ramp up from north end.
- PRoW footpath located along lower edge of embankment but is narrow.
- Note steep embankment for construction purposes - may require hand construction</t>
  </si>
  <si>
    <t>K129a</t>
  </si>
  <si>
    <t xml:space="preserve">- Appears to be woodland in areas, possibly dense
- Assumed suitable regarding width and gradient due to prior rail status
- Inaccessible and unvisited 
- Land ownership details not known. </t>
  </si>
  <si>
    <t>- Provision to be developed by others</t>
  </si>
  <si>
    <t>- Provision forms part of existing planning permission for development.
- Delivery standard dependent on third party
- 3-4m shared cycling and walking path</t>
  </si>
  <si>
    <t>- Ownership - not known, agreement required.
- Dense woodland along whole stretch  - tree felling required
- East end would connect to existing NCN.</t>
  </si>
  <si>
    <t>Width where required</t>
  </si>
  <si>
    <t xml:space="preserve">K107a </t>
  </si>
  <si>
    <t>- Shared use path to eastern edge of footway</t>
  </si>
  <si>
    <t>Cost Estimate Rate Development</t>
  </si>
  <si>
    <t>Queensbury Tunnel Feasibility Study</t>
  </si>
  <si>
    <t>Title</t>
  </si>
  <si>
    <t xml:space="preserve">Signal controlled crossing (Puffin / Toucan). </t>
  </si>
  <si>
    <t>Construction only rate</t>
  </si>
  <si>
    <t>Unit</t>
  </si>
  <si>
    <t>Number</t>
  </si>
  <si>
    <t>Specification</t>
  </si>
  <si>
    <t>Stand-alone traffic signal controlled pedestrian/cycle crossing</t>
  </si>
  <si>
    <t>Assumptions</t>
  </si>
  <si>
    <t>- Single carriageway two way road with no physical separation between opposing traffic lanes.
- No existing traffic signal infrastructure - all new</t>
  </si>
  <si>
    <t>Exclusions</t>
  </si>
  <si>
    <t xml:space="preserve">- Carriageway / Footway Resurfacing
- Improved Street lighting
- Diversion or protection of utility apparatus </t>
  </si>
  <si>
    <t>Source Information</t>
  </si>
  <si>
    <t xml:space="preserve">The rate is a median taken from rates published by two highway authorities in England. The published rates vary between £53,000 and £140,000. </t>
  </si>
  <si>
    <t>Other comments</t>
  </si>
  <si>
    <t xml:space="preserve">Toucan and Pegasus crossings will inevitably result in more signal infrastructure being required. Furthermore, kerbing and civil works are required to accommodate the increased width of a crossing when compared to a puffin. However, the difference in implementation costs between these crossing types is considered to be insignificant at this feasibility stage. </t>
  </si>
  <si>
    <t xml:space="preserve">Signal controlled crossing (Puffin / Toucan / Pegasus) - Dual Carriageway. </t>
  </si>
  <si>
    <t>- Dual carriageway road with a central reservation.
- No existing traffic signal infrastructure - all new</t>
  </si>
  <si>
    <t>The rate has been published by an English highway authority.</t>
  </si>
  <si>
    <t>Zebra / Parallel Crossing</t>
  </si>
  <si>
    <t>Zebra / Parallel crossing as per Traffic Signs Regulations and General Directions 2016 and Traffic Signs Manual Chapters 5 &amp; 6</t>
  </si>
  <si>
    <t xml:space="preserve">- High friction surface dressing required on approaches. 
- Beacons included within rate. 
- Single carriageway two way road with no physical separation between opposing traffic lanes. </t>
  </si>
  <si>
    <t xml:space="preserve">- Carriageway / Footway Resurfacing
- Raised Tables
- Improved Street lighting
- Diversion or protection of utility apparatus </t>
  </si>
  <si>
    <t xml:space="preserve">The rate is a median taken from rates published by two highway authorities in England. The published rates vary between £21,500 and £35,000. </t>
  </si>
  <si>
    <t xml:space="preserve">Parallel crossings will inevitably result in slightly more road markings and civils works, such as kerbing, being required. However, the difference in cost is not considered significant enough to separate the costs for these two interventions at this stage. </t>
  </si>
  <si>
    <t>Zebra / Parallel Crossing (Separated Carriageway)</t>
  </si>
  <si>
    <t>- High friction surface dressing required on approaches. 
- Beacons included within rate. 
- Dual carriageway two way road with separation in the form of a traffic island or central reservation.</t>
  </si>
  <si>
    <t xml:space="preserve">The rate is a median taken from rates published by two highway authorities in England. The published rates vary between £29,500 and £65,000. </t>
  </si>
  <si>
    <t xml:space="preserve">3m wide Traffic-free Route (shared path). </t>
  </si>
  <si>
    <t>Per linear metre</t>
  </si>
  <si>
    <t xml:space="preserve">- Flat ground
- No major earthworks required
- No retaining structures
- Sub base will extend beyond the width of the path to provide sufficient edge support in lieu of a kerbed edge or channel. 
- Traffic loading not required. </t>
  </si>
  <si>
    <t xml:space="preserve">- Kerbing and edgings
- Drainage
- Fencing
- Landscaping
- Structures
- Diversion or protection of utility apparatus </t>
  </si>
  <si>
    <t xml:space="preserve">The rate is a median taken from 13 tender responses to three Sustrans projects from 2019/20. The lowest tendered rate was £59, with the most expensive rate being £238. </t>
  </si>
  <si>
    <t xml:space="preserve">An alternative specification would be to use two-layers of bituminous surfacing comprising a lower layer of a coarser bituminous material: 60mm thickness of AC20 (asphalt concrete with a 20mm stone size) overlaid by a thinner surface course: 20mm thickness of AC10 (10mm stone size). This would provide a superior riding surface that may offer increased comfort to certain users. I.e., those using wheelchairs and adapted bikes. This specification would likely result in an increase in costs. </t>
  </si>
  <si>
    <t xml:space="preserve">The rate is taken from 'Paths for All: Estimating price guide for path projects (2019)'. The rate provided for a square metre of path is between £24.80 and £42, with an average of £33.40. The upper rate has been used for the purposes of this cost estimate, as this achieves consistency with the rate used for the 3m wide shared path. </t>
  </si>
  <si>
    <t xml:space="preserve">5m wide Traffic-free Route (shared path). </t>
  </si>
  <si>
    <r>
      <t>This rate is based upon '</t>
    </r>
    <r>
      <rPr>
        <b/>
        <sz val="10"/>
        <color theme="1"/>
        <rFont val="Calibri"/>
        <family val="2"/>
        <scheme val="minor"/>
      </rPr>
      <t>4m wide Traffic-free Route (shared path)</t>
    </r>
    <r>
      <rPr>
        <sz val="10"/>
        <color theme="1"/>
        <rFont val="Calibri"/>
        <family val="2"/>
        <scheme val="minor"/>
      </rPr>
      <t xml:space="preserve">', which has been increased proportionately to account for the additional metre of width. </t>
    </r>
  </si>
  <si>
    <t>Separated Cycle Track (On-Road)</t>
  </si>
  <si>
    <t xml:space="preserve">1.5m wide lightly separated cycle track (one-way). </t>
  </si>
  <si>
    <t xml:space="preserve">- Traffic speed and volumes considered suitable for light separation. 
- Separation takes the form of a reflective vertical post bolted to the carriageway surface. 
- Rate includes a cycle track on both sides of the road.
- Includes all road markings and signage required by the Traffic Signs Regulations and General Directions 2016 and the Traffic Signs Manual. </t>
  </si>
  <si>
    <t>- Does not include treatments / interventions at junctions
- Street lighting improvements
- Temporary Traffic Management
- Traffic Regulation Orders and legal costs</t>
  </si>
  <si>
    <t xml:space="preserve">Department for Transport - Typical Costs of Cycling Interventions: January 2017. </t>
  </si>
  <si>
    <t xml:space="preserve">2m wide Trotting Strip (Equestrian use only). </t>
  </si>
  <si>
    <t xml:space="preserve">200mm compacted Type 1 sub-base at least 50mm above the existing ground level. 25mm topsoil added to the compacted layer of sub base and then mixed. Sub-base / topsoil mixture then seeded with a wear resistant grass and lightly rolled. </t>
  </si>
  <si>
    <t>- Arising's from adjacent path cannot be used to form the topsoil layer.
- Ground conditions are suitable and a geotextile layer is not required. 
- Soil conditions are suitable for horse loading, i.e. soils aren't clay heavy. 
- Drainage is adequate</t>
  </si>
  <si>
    <t xml:space="preserve">- Geotextile
- Ground stabilisation
- Drainage
- Fencing
- Path for other users (i.e. Cyclists and pedestrians)
- Diversion or protection of utility apparatus </t>
  </si>
  <si>
    <t>The rate has been developed using earthworks and material rates provided through a tender process for a number of DfT funded Sustrans projects in 2019/2020. The specification has been developed in accordance with the British Horse Society's guidance on the surfacing of Bridleways and Horse Tracks.</t>
  </si>
  <si>
    <t xml:space="preserve">Ground conditions and drainage are critical when specifying trotting strips. Ground and existing drainage conditions are unknown at this stage. As such, further development of this specification may be required at a subsequent design stage. </t>
  </si>
  <si>
    <t>Resurfacing - Existing paved area</t>
  </si>
  <si>
    <t>Per square metre</t>
  </si>
  <si>
    <t xml:space="preserve">Plane off back to sub-base and replace a lower layer of bituminous material: 60mm thickness of AC20 (asphalt concrete with a 20mm stone size) overlaid by a thinner surface course: 20mm thickness of AC10 (10mm stone size). </t>
  </si>
  <si>
    <t>- Some areas that are resurfaced are used as access routes. As such, the resurfacing specification is considered to be suitable for carriageway construction. 
 - Sub-base is still suitable as a foundation</t>
  </si>
  <si>
    <t>- Kerbing and edgings
- Drainage
- Fencing
- Landscaping
- Structures</t>
  </si>
  <si>
    <t xml:space="preserve">The rate is a median taken from 5 tender responses to a Sustrans project from 2019/20. The lowest tendered rate was £40, with the most expensive rate being £401. </t>
  </si>
  <si>
    <t xml:space="preserve">Specification may need to be changed depending on the level of vehicular access / traffic required. This is unknown at this stage and should be revisited at a subsequent design stage. </t>
  </si>
  <si>
    <t>Fencing (Timber)</t>
  </si>
  <si>
    <t>Timber post and rail fence with additional stock control wire netting. This specification of fencing is based upon Sustrans standard detail SD/32/B.</t>
  </si>
  <si>
    <t xml:space="preserve">- Stock control netting is required. 
- Unit rate is for one line of fencing only. I.e. The rate for fencing on both sides of a path would need to be doubled. 
- Timber top rail included as most fencing will be erected alongside a shared use path. 
- Timber has already been treated with preservative. </t>
  </si>
  <si>
    <t xml:space="preserve">Painting or other types of finishes. </t>
  </si>
  <si>
    <t xml:space="preserve">The rate is a median taken from 7 tender responses to two Sustrans projects from 2019/20. The lowest tendered rate was £16, with the most expensive rate being £53. This has been verified against  'Paths for All: Estimating price guide for path projects (2019)' which gives a total of £33 for a similar specification fence when using the upper costing limits. </t>
  </si>
  <si>
    <t xml:space="preserve">Omitting stock control netting would decrease the cost unit rate by approximately 15%. </t>
  </si>
  <si>
    <t>Modal Filter</t>
  </si>
  <si>
    <t>Modal filter using standard pallet of Highway Authority materials i.e. granite/concrete kerbs and asphalt surfacing. Some basic greenspace improvements incorporated such as low level planting beds.</t>
  </si>
  <si>
    <t xml:space="preserve">The suitability of a modal filter has stakeholder / community backing and has been successfully trialled. </t>
  </si>
  <si>
    <t xml:space="preserve">- Traffic Regulation Orders
- Legal Costs 
- Consultation / Engagement
- Diversion or protection of utility apparatus </t>
  </si>
  <si>
    <t>The rate is a median average taken from a range of costs within:
- Waltham Forest Mini-Holland Design Guide
- Oxfordshire Liveable Streets: Florence Park Low Traffic Neighbourhood indicative scheme costing</t>
  </si>
  <si>
    <t>The modal filter could be replaced with a 'Basic' modal filter using bollards, signage and/or planters and trees. However, this approach would be recommended or suitable for a temporary trial should this be the preferred approach.</t>
  </si>
  <si>
    <t>Street lighting - within Highway</t>
  </si>
  <si>
    <t xml:space="preserve">Standard 6m high street light installed within the highway boundary. </t>
  </si>
  <si>
    <t xml:space="preserve">Street lighting spacing is based on various factors including road geometry, column heights, lighting class and specification. </t>
  </si>
  <si>
    <t>Street lighting - low level bollard (rural environments)</t>
  </si>
  <si>
    <t xml:space="preserve">80cm high, vandal proof, solar powered, motion detector bollard. </t>
  </si>
  <si>
    <t xml:space="preserve">- Only to be used in rural environments to minimise ecological impacts. 
- No trenching, ducting or electrical connections required
- 250-500 lumens output
- 4m motion detector range, spacing's therefore set at 4m. </t>
  </si>
  <si>
    <t xml:space="preserve">- Solar powered, does not require an electrical connection
- Diversion or protection of utility apparatus </t>
  </si>
  <si>
    <t>Various</t>
  </si>
  <si>
    <t xml:space="preserve">There is very limited published information in relation to the costs of supplying and installing low level solar powered bollards. This is likely due to their limited use by local authorities across England, with most products of this type appearing within private developments, e.g. retail centre car parks. Research has found that costs vary from between £50 and £800 per unit (excluding installation), but the specification of these systems varies greatly. For the purposes of this cost estimate, a rate for a vandal proof system that has minimal maintenance requirements was considered most appropriate. </t>
  </si>
  <si>
    <t>Bus Gate</t>
  </si>
  <si>
    <t xml:space="preserve">Bus gate with road markings and signage in accordance with the Traffic Signs Regulations and General Directions 2016 and Traffic Signs Manual. </t>
  </si>
  <si>
    <t xml:space="preserve">- The suitability of a bus gate has stakeholder / community backing and has been successfully trialled. 
- The suitability of a bus gate has been subject to a wider traffic impact assessment. 
- ANPR cameras used as a means of enforcement. </t>
  </si>
  <si>
    <t xml:space="preserve">- Traffic Regulation Orders
- Legal Costs 
- Consultation / Engagement
- Diversion or protection of utility apparatus 
 - Operating / enforcement costs
- Ongoing maintenance of hardware. </t>
  </si>
  <si>
    <t xml:space="preserve">There is very limited published information relating to the costs of installing a bus gate. Highway Decision Reports from various Highway Authorities across England, dating back to 2014, would suggest that the cost of installing a bus gate can vary between £70,000 and £140,000 per site. As such, this has been averaged to develop a rate that is considered suitable for this stage of design. </t>
  </si>
  <si>
    <t xml:space="preserve">Initial research would suggest that the maintenance of a bus gate over 5 years could cost a minimum of £20,000. </t>
  </si>
  <si>
    <t>Accessible Ramp - Earthworks</t>
  </si>
  <si>
    <t xml:space="preserve">Re-grade existing embankment to create a ‘zig- zag’ type ramp arrangement that will provide a connection over significant level differences, typically where the route moves between the highway environment and former rail corridor.  In order to achieve suitable gradients; the ramps will typically follow a 1:20 gradient.  The path on the ramp will be 3m wide and sealed. </t>
  </si>
  <si>
    <t xml:space="preserve">- Some cut and fill works will be required to re-grade the embankment
- Includes some provision for reinstatement of the existing landscape
- Includes some provision for basic drainage and fencing. </t>
  </si>
  <si>
    <t xml:space="preserve">- Design
- Permissions and consents
- Ecological mitigations. 
- Diversion or protection of utility apparatus </t>
  </si>
  <si>
    <t xml:space="preserve">The rate is a median taken from five tender responses to a Sustrans projects constructed in 2020/2021 . The lowest tendered rate was £246,537, with the most expensive rate being £407,914. </t>
  </si>
  <si>
    <t xml:space="preserve">Each site will different greatly in the level of earthworks requires to achieve suitable gradients. The rate developed is considered to be medium risk example of where some imported fill was required to make up levels. However, each site would require a more detailed assessment at a subsequent design stage, as it may be that more sever gradients are better addressed through the use of a structure. </t>
  </si>
  <si>
    <t>Controlled X-ing</t>
  </si>
  <si>
    <t>Controlled X-ing (Separated)</t>
  </si>
  <si>
    <t>Zebra X-ing</t>
  </si>
  <si>
    <t>Zebra X-ing (Separated)</t>
  </si>
  <si>
    <t>3m Wide Shared Path</t>
  </si>
  <si>
    <t>5m Wide Shared Path</t>
  </si>
  <si>
    <t>Trotting Strip</t>
  </si>
  <si>
    <t>Resurfacing</t>
  </si>
  <si>
    <t>Fencing</t>
  </si>
  <si>
    <t>Street Lighting</t>
  </si>
  <si>
    <t>Lighting Bollards</t>
  </si>
  <si>
    <t xml:space="preserve">Bus Gate </t>
  </si>
  <si>
    <t>Earthworks Ramp</t>
  </si>
  <si>
    <t xml:space="preserve">- Assumed no need for structure across Beck from limited access available. Options exist in this location to avoid Beck by continuing along Royd Lane. 
- Walled section of Royd Lane is narrow - 3m maximum. Options to run alongside even if accessed between farm buildings. 
- Route runs through private land. Ownership is unknown. </t>
  </si>
  <si>
    <t>- Route crosses private land. Ownership unknown</t>
  </si>
  <si>
    <t>- Traffic volumes on Shay Lane unknown. Speed limit 20mph at crossing point.  Traffic survey may indicate that a parallel crossing is sufficient.</t>
  </si>
  <si>
    <t xml:space="preserve">- New parallel crossing at roundabout arm </t>
  </si>
  <si>
    <t xml:space="preserve">- Existing Bridleway
- gradients steep in places, average 1:10 for approx. 400m stretch at east end; 1:14 in west half. Existing road. </t>
  </si>
  <si>
    <t>Quantity for costing</t>
  </si>
  <si>
    <t>No</t>
  </si>
  <si>
    <t>m</t>
  </si>
  <si>
    <t>- Shared use is sub-optimal in urban space.
- Route forms temporary alternative to re-alignment and extension of Hebble Trail
- Use of shared path avoids need to navigate/reconfigure roundabout
- May lead to some discomfort for users during busy periods
- Some users may perceive as being unsafe due to interaction within other users in shared area</t>
  </si>
  <si>
    <t>Provision developed by others:
- Traffic Free route
- Junction improvements at entrance to Station from Church Street/Square Road</t>
  </si>
  <si>
    <t>Shared use Path</t>
  </si>
  <si>
    <t>X</t>
  </si>
  <si>
    <t>m²</t>
  </si>
  <si>
    <t>One-way light separated tracks</t>
  </si>
  <si>
    <t>Junction Reconfiguration</t>
  </si>
  <si>
    <t>One-way kerb separated tracks</t>
  </si>
  <si>
    <t>Mixed Traffic Environment</t>
  </si>
  <si>
    <t>- Installation of modal filter on Old Lane to north of Mill Lane</t>
  </si>
  <si>
    <t>- Reduced corner radius on Mill Lane / Old Lane junction to slow vehicle turning speeds</t>
  </si>
  <si>
    <t xml:space="preserve">- Ovenden Way / Ovenden Road junction reconfigured to provide improved crossings for cycles between Ovenden Way and Old Lane cycle provision. </t>
  </si>
  <si>
    <t>- Fencing on one side of path</t>
  </si>
  <si>
    <t>- Route access ramp</t>
  </si>
  <si>
    <t>-3m wide shared traffic free route. Hillside location - earthworks/retaining walls req.</t>
  </si>
  <si>
    <t>- Fencing both sides of path for safety and containment of livestock</t>
  </si>
  <si>
    <t>- Crossing of Churn Milk Lane - Uncontrolled Crossing with signage</t>
  </si>
  <si>
    <t>Uncontrolled Crossing</t>
  </si>
  <si>
    <t>- Possible future development land. Opportunity to require development to provide/protect route alignment. 
- Slope of hillside location. 
- Owner details not researched.
- Hillside location (side slope): 3m wide shared route would be lower cost but could aversely impact on safety, attractiveness and level of use if volumes of users is higher than expected. Wider and/or separated tracks would provide great all-year-round access for all but would be considerably more costly.
- 5% gradient max;</t>
  </si>
  <si>
    <t>- Route runs through private land. Ownership is unknown. 
- Route passes close to known area of open mosaic habitat. Full ecological assessment required and ecological mitigation likely. 
- Limited opportunity to provide high-quality links to settlement to west. Potential to address through development access. 
- Hillside location (side slope): 3m wide shared route would be lower cost but could aversely impact on safety, attractiveness and level of use if volumes of users is higher than expected. Wider and/or separated tracks would provide great all-year-round access for all but would be considerably more costly.
- 5% gradient max;</t>
  </si>
  <si>
    <t>- 3m wide traffic-free shared used path</t>
  </si>
  <si>
    <t>- Fencing (one side)</t>
  </si>
  <si>
    <t>- User Priority Crossing of School Cote Brow (access road)</t>
  </si>
  <si>
    <t>- Fencing both sides required (livestock grazing)</t>
  </si>
  <si>
    <t>- Cycling in mixed traffic environment (Residential streets, parking restrictions on Roper Lane)
- Roper Lane is through route. Likely to require improvements to indicate presence of cycles. 
- Speed limit reduced to 20mph between Ladysmith Road and Halifax Road
- Improved traffic calming measures on Roper Lane between Ladysmith Road and Halifax Road.</t>
  </si>
  <si>
    <t>- New controlled crossing across Halifax Road 
- Junction reconfiguration. Narrowed entrance and exit only at Shibden Head Lane</t>
  </si>
  <si>
    <t xml:space="preserve">- Route crosses AADF &gt;10,000. As such, a fully signal controlled crossing is required. </t>
  </si>
  <si>
    <t xml:space="preserve">- There may be ownership issues encountered, as the access appears to only serve private premises. </t>
  </si>
  <si>
    <t>- 3m wide shared traffic free route. Hillside location - earthworks/retaining walls req.</t>
  </si>
  <si>
    <t>- Improved existing traffic free route</t>
  </si>
  <si>
    <t>Improve existing traffic-free route</t>
  </si>
  <si>
    <t>- Proposed modal filter in the vicinity of Jonscroft to remove through traffic and reduce vehicle speeds through southern section of Long Lane where visibility is poor and carriageway width is low.</t>
  </si>
  <si>
    <t xml:space="preserve">- Route based on section 'A' in Old Lane/Valley Floor Cycle Corridor consultation.
- Installation of modal filters can present a number of stakeholder / community engagement challenges. More specifically, they can be divisive schemes to implement. 
- Mixed traffic environments can be perceived to be unsafe and unattractive by some users unless vehicle speeds and volumes are suitable for this approach. </t>
  </si>
  <si>
    <t>- Shared use footway does not meet criteria of LTN 1/20 by not separating users.
- The risk of users finding the shared path uncomfortable, unsafe or unattractive is mitigated as the path would be linking two sections of infrastructure and footway will be used by relatively low number of pedestrians.</t>
  </si>
  <si>
    <t xml:space="preserve">- Current junction configuration provides safe crossing opportunities, but in multiple stages (4 required to access northern footway on Ovenden Way)
- Reconfiguration may be aspirational for long-term coherence. In the meantime, the puffin crossings could be upgraded to toucan crossings.  
- Longer term aspiration to reconfigure the junction may generate traffic capacity concerns from the Highways Service. </t>
  </si>
  <si>
    <t xml:space="preserve">-The introduction of traffic signals may generate some opposition amongst stakeholders. </t>
  </si>
  <si>
    <t xml:space="preserve">- This route may be perceived as being indirect and unattractive to some users, as it provides a less direct route than the High Street. The route may also be perceived as unattractive as it does require a descent, when users will have only just ascended the Alpine Ramp. However, this is considered to be a more suitable and safer route than the High Street alternative. The traffic volumes and speeds on the High Street would require separated cycling provision to be introduced, for which there is unavailable space. As such, this route represents the most logical parallel route that offers an overall acceptable level of service. </t>
  </si>
  <si>
    <t>RoW status</t>
  </si>
  <si>
    <t>Public highway</t>
  </si>
  <si>
    <t>Private land - no current RoW</t>
  </si>
  <si>
    <t>Footpath along School Cote Brow</t>
  </si>
  <si>
    <t>Private land - no current RoW. Final zig zag follows footpath then bridleway. Numerous footpaths on slope to west of zig zags, and round factory boundary to join School Cote Brow.</t>
  </si>
  <si>
    <t>Private land (assumed) - no current RoW</t>
  </si>
  <si>
    <t>Footpath</t>
  </si>
  <si>
    <t>Public park</t>
  </si>
  <si>
    <t>Bridleway</t>
  </si>
  <si>
    <t>Public highway. Back Great Russell Street part-adopted.</t>
  </si>
  <si>
    <t>- Cycling in mixed traffic environment 
- extension of 20mph zone on Bingley Road to east to include approach to junction with off road route. 
- remove on street parking provision around BR/BV junction to ensure visibility</t>
  </si>
  <si>
    <t>Part-adopted highway</t>
  </si>
  <si>
    <t>Private land - no current RoW (majority Sustrans)</t>
  </si>
  <si>
    <t>Private land - no current RoW (Sustrans)</t>
  </si>
  <si>
    <t>Private land - no current RoW (Sustrans to K129)</t>
  </si>
  <si>
    <t>Private land - no current RoW (RPL)</t>
  </si>
  <si>
    <t xml:space="preserve">Private land - no current RoW. Footpath for approx. 100m at parallel northern end. </t>
  </si>
  <si>
    <t>Private land - no current RoW (Sustrans K144 approx. to Headley Lane, Sustrans/RPL cockin Lane to Station Road). Bridleway (Headley Lane to Cockin Lane). Footpath (Brow Lane to Station Road).</t>
  </si>
  <si>
    <t xml:space="preserve">- One-way stepped cycle tracks on both sides of the road. </t>
  </si>
  <si>
    <t xml:space="preserve">- Junction improvements will incorporate a protected left turn for cyclists onto Brighouse Road, as well as signal infrastructure changes to provide cyclists with a head start over traffic to enable them to turn right onto Sandbeds without conflict with vehicles. </t>
  </si>
  <si>
    <t xml:space="preserve">-The provision of a toucan crossing will enable cyclists to safely cross Sandbeds in order to move from a mixed traffic environment on Station Road into the westbound cycle track on Brighouse. </t>
  </si>
  <si>
    <t>- Existing shared path developed by others, alongside ASDA
- No improvements identified</t>
  </si>
  <si>
    <t xml:space="preserve">- The proposed facility appears to be a 3m wide shared path, with an assumed sealed surface. </t>
  </si>
  <si>
    <t xml:space="preserve">- The introduction or extension of any parking restrictions would be subject to public consultation, during which public opposition may be encountered. </t>
  </si>
  <si>
    <t>Road Markings / TROs</t>
  </si>
  <si>
    <t>- Resurfacing, 8m wide</t>
  </si>
  <si>
    <t>- 3m wide shared traffic free</t>
  </si>
  <si>
    <t>- Fencing (total length shown)</t>
  </si>
  <si>
    <t>- Route access ramp - earthworks</t>
  </si>
  <si>
    <t>- Fencing. Allow for one side (195m)</t>
  </si>
  <si>
    <t>- Low level  lighting through tunnel</t>
  </si>
  <si>
    <t>- Proposed Toucan Crossing, Ingleby Road</t>
  </si>
  <si>
    <t>- Proposed new shared use footways on either side of Cemetery Road. Utilise existing toucan crossings over Cemetery Road</t>
  </si>
  <si>
    <t xml:space="preserve">Resurface existing private access road. </t>
  </si>
  <si>
    <t xml:space="preserve">- Fencing required on the northern side. </t>
  </si>
  <si>
    <t xml:space="preserve">- Route passes through private land. Ownership unknown. 
- Route requires bridleway application </t>
  </si>
  <si>
    <t xml:space="preserve">- Route passes through private land (horse fields). Ownership unknown. 
- Constraint at Bull Greave Beck which required non-culvert solution to pass over beck 
- Route requires bridleway application  
- Potentially realigning around field edge (not shown) would be less intrusive but if north field edge used, would mean use of steeper section of Deep Lane at north end, which also would require upgrade from footpath to bridleway. </t>
  </si>
  <si>
    <t>- Construct 3m wide traffic free route</t>
  </si>
  <si>
    <t>- Fencing</t>
  </si>
  <si>
    <t>- New bridge required to pass over Bull Greave Beck, 2-3m wide - to replace narrow footpath. Approx. 6m length currently.</t>
  </si>
  <si>
    <t>- 3m wide traffic free route.
- Length includes link B111a-B111b (190m)</t>
  </si>
  <si>
    <t>- 3m wide traffic free route for pedestrians/cycles only (part through private property)</t>
  </si>
  <si>
    <t>- Cycling in mixed traffic environment (Town End Road)</t>
  </si>
  <si>
    <t xml:space="preserve">- Opportunity to avoid navigation and reconfiguration of roundabout
- Indirect link to Deep Lane may result in some users choosing substandard Bradford Road link
- Traffic volumes unknown. Potential that controlled crossing required, increasing costs. </t>
  </si>
  <si>
    <t xml:space="preserve">- Depending on the volume of users, shared footways can be considered to be unsafe, unattractive and uncomfortable. This typically occurs where there are high volumes of pedestrians. </t>
  </si>
  <si>
    <t xml:space="preserve">- The introduction of a priority junction in place of a  mini-roundabout may create some traffic network impacts. Discussions should be held with the highways service to understand how suitable this proposal would be from a network operation perspective. </t>
  </si>
  <si>
    <t>- Existing track/highway resurfaced.</t>
  </si>
  <si>
    <t xml:space="preserve">- Trotting strip </t>
  </si>
  <si>
    <t>- Fencing both sides</t>
  </si>
  <si>
    <t>- Trotting strip</t>
  </si>
  <si>
    <t xml:space="preserve">- Fencing one side (382m) </t>
  </si>
  <si>
    <t xml:space="preserve">- Route ascends through area of former mining works. Mitigation and stabilisation for construction may be required, increasing programme time and costs. 
- Area of former mining works now recolonised. Full ecological assessment required, and mitigation and compensation likely. 
- Route runs through private land. Ownership is known. 
- Route can be constructed to LTN1/20 gradient requirements, but will still present challenge for some users. 
- The route does not offer a direct route up the slope. This may be unattractive to some users, particularly those with mobility impairments. 
- An alpine type slope may also generate a lot of interest, which could result in higher volumes of users presenting safety issues, particularly those who may be travelling downhill at speed. </t>
  </si>
  <si>
    <t xml:space="preserve">- The short length of cycle track within the highway environment may be perceived as being incoherent, if not considered in the wider context of the route. This is unavoidable where there are limited opportunities to maintain a similar level of provision consistently. For example, where a route moves between a traffic free environment and the highway. </t>
  </si>
  <si>
    <t xml:space="preserve">- Mixed traffic environments can be perceived to be unsafe and unattractive by some users unless vehicle speeds and volumes are suitable for this approach. However, the volumes of traffic along Station Road are thought to be low enough to create a suitable mixed traffic environment. </t>
  </si>
  <si>
    <t xml:space="preserve">- Pinch point on Heathy Lane acts as traffic calming measure, but this could be considered to be unsafe by some cyclists. Further assessment would be required to determine whether a priority give-way system would provide a better environment for cycling. </t>
  </si>
  <si>
    <t xml:space="preserve">- Site not accessible, not visited
 -Appears from desk study to be dense wooded area and on steep slope
- Ownership not known
- Likely to present ecological, access and buildability challenges that would require further investigation at a subsequent design stage. </t>
  </si>
  <si>
    <t xml:space="preserve">- Bi-Directional separated cycle track to avoid conflict point at the wide and open entrance to Wickes. </t>
  </si>
  <si>
    <t xml:space="preserve">- Access road to Wickes and others. East end is in private fenced-off land - ownership and suitability not known. Road width approx. 7m; footpath +2.4m
- Adjacent to water course, possible construction implications
- Wickes may have some objections to the access road being modified, particularly if it is used for the movement of HGVs. </t>
  </si>
  <si>
    <t xml:space="preserve">Footpath subject to current upgrade request. </t>
  </si>
  <si>
    <t>- 1 No. Bus Gate on Parkwood Street</t>
  </si>
  <si>
    <t>- Kerb line on eastern side of Park Lane build out to create a 3m wide shared use space</t>
  </si>
  <si>
    <t>- Junction between Park Lane and Hainworth Wood Road North rationalised to reduce corner radii, reduce traffic speeds and reduce crossing distances. Kerb lines build out.
- 1 No. Parallel crossing across Park Lane to provide access to shared use footway.</t>
  </si>
  <si>
    <t xml:space="preserve">- Residential but traffic volumes unknown. Greater intervention may be required where volumes are higher than expected. 
- Mixed traffic environments can be perceived to be unsafe and unattractive by some users unless vehicle speeds and volumes are suitable for this approach. </t>
  </si>
  <si>
    <t>- Hainworth Road - resurface existing tarmac (approx. 4.5-7.5m wide)</t>
  </si>
  <si>
    <t>- Modal filter</t>
  </si>
  <si>
    <t>- Installation of modal filters can present a number of stakeholder / community engagement challenges. More specifically, they can be divisive schemes to implement.</t>
  </si>
  <si>
    <t>- Hainworth Road (south) Resurface (4.5-10m wide)</t>
  </si>
  <si>
    <t>- Gradient at northern junction is steep. Challenges for users.
- Cobbles present at northern end of route - may require relaying to provide smooth surface. 
- Opportunity for future access through fields to exclude cycling in mixed traffic section. 
- Traffic volumes unknown - may require additional provision with programme and cost implications.</t>
  </si>
  <si>
    <t>- Moor Bottom Lane - resurfacing existing tarmac / poor condition (2.5-4.5m wide approx.)</t>
  </si>
  <si>
    <t>- 3m traffic free route</t>
  </si>
  <si>
    <t>- Traffic volumes assumed low
- Interrupted bridleway provision
- Opportunity to improve traffic calming at entrance to cross roads</t>
  </si>
  <si>
    <t>- Resurfacing existing farm access, approx. 3-3.5m wide
- Will be 'mixed traffic environment' with expected low traffic volume</t>
  </si>
  <si>
    <t>- Existing Bridleway
- Route passes through private land. Ownership unknown
- Known historic access issues - attempts to downgrade route to footpath
- Route passes bodies of water - full ecological assessment would be required. 
- Gradient mostly OK, approaching 1:10 for short stretches. Short section of pinch points (2-3m width) between walls.</t>
  </si>
  <si>
    <t xml:space="preserve"> - Route passes along private track (K116-K117). Ownership unknown and not visited. 
- K117-K119 is wide, 5m+.
- Assumed low traffic volumes on Station Road. </t>
  </si>
  <si>
    <t>- Resurfacing existing track/road</t>
  </si>
  <si>
    <t>- Crossing of Station Road. Low traffic flow is expected (farm track). 
-Resurfacing req.</t>
  </si>
  <si>
    <t>- 3m wide traffic free shared route. Across hill side slope - hence limited width</t>
  </si>
  <si>
    <t>- Fencing (225m) west side for safety</t>
  </si>
  <si>
    <t>- Fencing (65m) for safety</t>
  </si>
  <si>
    <t>- Use of existing driveway to property - resurface</t>
  </si>
  <si>
    <t xml:space="preserve">- Fencing on both side of traffic-free path. </t>
  </si>
  <si>
    <t>Route access ramp, 3m wide shared traffic free. 
- Approx. 120m long for 1:20 grad. Tree loss expected; flat embankment at top is fairly clear of trees.</t>
  </si>
  <si>
    <t xml:space="preserve">- Route passes through private land (south half) - unvisited. Ownership known
- Route previously subject to planning permission now lapsed
- Ecological assessment required and mitigation and compensation likely to be required. </t>
  </si>
  <si>
    <r>
      <t>- 3m wide traffic free route</t>
    </r>
    <r>
      <rPr>
        <b/>
        <sz val="10"/>
        <color theme="5"/>
        <rFont val="Helvetica 55 Roman"/>
        <family val="2"/>
      </rPr>
      <t/>
    </r>
  </si>
  <si>
    <t>- Trotting strip with some tree loss expected at north end (80m stretch). Central 218m utilises existing PRoW path along quarry track (good width). 380m at south end is on unexplored private land, looks reasonably clear of trees in places.</t>
  </si>
  <si>
    <t>- Inspection and any required works to over-bridge (over road) - blocked off above, condition unknown.</t>
  </si>
  <si>
    <t>- Route access ramp, earthworks expected. 
- Along edge of woodland area, within railway land but ownership unknown.
- Links to Foster Park View.</t>
  </si>
  <si>
    <t>- Appears to be woodland in areas, possibly dense
- Assumed suitable regarding width and gradient due to prior rail status
- Inaccessible and unvisited 
- Land ownership details not known. 
- Known ecological risk - tunnels and high quality land required full ecological assessment and likely mitigation and compensation. 
- Condition of tunnels last known to be good, but risk of deterioration and associate costs and programme implications. 
- Works in confined spaces may present construction challenges.
- Safety - unlikely to be area used at night unless adequate lighting is provided. 
- Land ownership</t>
  </si>
  <si>
    <t>- Structural check and improvements to inverted arches/ short tunnels: 2 inverted arches (70m &amp; 30m long) and 1 tunnel (130m long - Doe Park Tunnel)</t>
  </si>
  <si>
    <t>Bi-Directional Kerb Separated Track</t>
  </si>
  <si>
    <t>- Resurfacing</t>
  </si>
  <si>
    <t>- Existing traffic free with improvements (widening). 
- Land acquisition may be necessary.</t>
  </si>
  <si>
    <t>- Existing traffic free with improvements . Total length excluding Thornton Viaduct is shown (no visible improvements necessary to viaduct)
- Widen where possible</t>
  </si>
  <si>
    <t xml:space="preserve">- Lighting through tunnel </t>
  </si>
  <si>
    <t>- Well Head tunnel. Condition last examined to be fair. Survey required and may have implications on programme and cost
- Works in confined spaces may present construction challenges. 
- Ownership of tunnel is part private part HSE. Likely to require negotiation and ownership transfer
- Safety - unlikely to be used at night</t>
  </si>
  <si>
    <t>- Known ecological risk - tunnels and high quality land required full ecological assessment t and likely mitigation and compensation. 
- Condition of tunnels last known to be good, but risk of deterioration and associated costs and programme implications. 
- Lighting requirements? 
- Works in confined spaces may present construction challenges. 
- Safety - unlikely to be area used at night
- Ownerships unknown.</t>
  </si>
  <si>
    <t>Un-adopted highway</t>
  </si>
  <si>
    <t xml:space="preserve">- Route potentially runs through un-adopted highway. Possible challenge from residents. 
- Vehicle movements for parking - likely to be low in number </t>
  </si>
  <si>
    <t>Private land - no current RoW (K116-117). Bridleway (K117-118). Un-adopted highway (K118-119).</t>
  </si>
  <si>
    <t>- Compliance - narrow provision which some users may consider to be unattractive and uncomfortable. Where there are high volumes of pedestrians, some users may also consider this level of provision to be unsafe. As such, future upgrade could be considered where volumes increase significantly. 
- Limited opportunity for improvement without additional land acquisition</t>
  </si>
  <si>
    <t xml:space="preserve">- Compliance - very steep existing road. 4.5-7m wide. Gradient is 1:10 in places. This may detract some users from this section. It may also be uncomfortable for some users. 
- Section could be further improvement through the introduction of resting places, feature boards, benches etc. </t>
  </si>
  <si>
    <t xml:space="preserve">The rate is a median taken from rates published by two highway authorities in England. The published rates vary between £9,400 and £12,500. </t>
  </si>
  <si>
    <t xml:space="preserve">- Single carriageway two way road with no physical separation between opposing traffic lanes.
- Rate includes for electric works associated with illuminated bollards on refuge island. </t>
  </si>
  <si>
    <t>- Carriageway / Footway Resurfacing
- Improved Street lighting
- Diversion or protection of utility apparatus 
- Highway drainage</t>
  </si>
  <si>
    <t xml:space="preserve">3m wide dropped kerbs on both sides of the carriageway, including a pedestrian refuge island and tactile paving. </t>
  </si>
  <si>
    <t xml:space="preserve">Some uncontrolled pedestrian crossing points will not include a refuge island, particularly those implemented on narrower single carriageway roads. These roads may instead use a raised table to provide a crossing point, but also to calm traffic speeds. For the purposes of this cost estimating exercise, this rate will account for crossings that adopt either a refuge island, or a raised table, but not both. </t>
  </si>
  <si>
    <t>3m wide kerb separated cycle track (two-way)</t>
  </si>
  <si>
    <t xml:space="preserve">Separated cycle tracks can take a number of forms. For roads that experience higher traffic volumes and speeds, kerb or level separation may be required. </t>
  </si>
  <si>
    <t xml:space="preserve">Separated cycle tracks can take a number of forms. For roads that experience lower traffic volumes and speeds, light seperation may be suffcient. </t>
  </si>
  <si>
    <t>One-way Kerb Seperated Track (On-Road)</t>
  </si>
  <si>
    <t xml:space="preserve">- Traffic speed and volumes considered suitable for kerb separation. 
- Separation takes the form of a kerbed upstand and / or level difference. </t>
  </si>
  <si>
    <t>- Treatments / interventions at junctions
- Road markings and signage required by the Traffic Signs Regulations and General Directions 2016 and the Traffic Signs Manual. 
- Changes to highway drainage and road markings / signage. 
Temporary Traffic Management</t>
  </si>
  <si>
    <t>Mixed traffic Environment</t>
  </si>
  <si>
    <t xml:space="preserve">Traffic calming can take many forms, all of which will come with different costs. For some streets, simple measures such as centreline removal may suffice in managing traffic speeds. As such, further investigation will be required to understand the specific needs of each mixed traffic environment in order to arrive at a more accurate costing. </t>
  </si>
  <si>
    <t xml:space="preserve">- Temporary Traffic Management
- Legal and advertising costs associated with Traffic Regulation Orders. </t>
  </si>
  <si>
    <t xml:space="preserve">The rate is a median taken from rates published by two highway authorities in England. The published rates vary between £205 and £295 per metre. </t>
  </si>
  <si>
    <t xml:space="preserve">- Zebra crossing over Broad Tree Road 
- Remove pedestrian refuge and tighten left turn exit from Broad Tree Road to Ovenden Road to provide space to join/leave shared provision. 
- Speed limit reduction on Broad Tree Road to 20mph. </t>
  </si>
  <si>
    <t>B113a/ B114</t>
  </si>
  <si>
    <t xml:space="preserve">- B117 to B118 forms an extended section with a gradient of approximately 5%. </t>
  </si>
  <si>
    <t xml:space="preserve">- Route passes through private land. 
- Existing RoW has been unofficially diverted. Opportunity to formalise diversion as part of widening and upgrading status. </t>
  </si>
  <si>
    <t>- Two local plan development sites are located along Hainworth Road.  Both are council owned. Opportunity to integrate development with route planning. Risk that access requirements to new development conflict with proposed route.</t>
  </si>
  <si>
    <t>- Potential for User Priority crossing or uncontrolled crossing. Signage.</t>
  </si>
  <si>
    <t>- 3m wide traffic free shared route through woodlands (existing track, width limited to 3m to avoid tree loss)</t>
  </si>
  <si>
    <t xml:space="preserve">- Land in private ownership. Ownership known with previous engagement having taken place.
- Upgrade request is separate to negotiation. </t>
  </si>
  <si>
    <t xml:space="preserve">- PRoW footpath status requires upgrading to bridleway. </t>
  </si>
  <si>
    <t>Shared Path (Conversion of existing footway)</t>
  </si>
  <si>
    <t xml:space="preserve">2.2m wide footway construction into the carriageway with new full height kerb. </t>
  </si>
  <si>
    <t xml:space="preserve">- Temporary Traffic Management
- Diversion or protection of utility apparatus </t>
  </si>
  <si>
    <t xml:space="preserve">- Existing footway is approximately 1.8m wide (Taken from national average)
- There is suffcient room within the carriageway to reallocate space to active travel
- Inlcudes amendments relating to highway drainage
- Includes provision of shared use signage. </t>
  </si>
  <si>
    <t xml:space="preserve">The rate was applied to LCWIP works undertaken for a number of Highway Authorities across England during 2020/21. </t>
  </si>
  <si>
    <t xml:space="preserve">The width of footway and widening will vary from location to location. This rate has been developed on the assumption that most footways are around 1.8m wide. Therefore, this rate is considered a worst case scenario. </t>
  </si>
  <si>
    <t>Improve Existing Traffic-free Route</t>
  </si>
  <si>
    <t xml:space="preserve">1m width of widening and 3m width of resurfacing. </t>
  </si>
  <si>
    <t xml:space="preserve">The rate has been developed using a pro-ratered 3m wide shared path rate, and the rate applied to general resurfacing. </t>
  </si>
  <si>
    <t xml:space="preserve">This rate has been developed on the assumption that the majority of traffic-free route requiring improvement through the route is around 2m width. In many cases, opportunities for widening these paths can be limited due to where they are situated. E.g. 2m wide paths situated in former rail corridors can mostly be widened to 3m prior to having negative ecological impacts. The rate has been developed on the basis that 1m of widening can be tolerated.. </t>
  </si>
  <si>
    <t>£5,000 per corner radii reduction.</t>
  </si>
  <si>
    <t xml:space="preserve">No signal equipment required. The junction is relatively compact and could be changed with some kerbline alterations and footway construction. </t>
  </si>
  <si>
    <t xml:space="preserve">£5,000 per corner radii reduction and uncontrolled crossing at £10,950.  Remove refuge and reinstate carriageway at £3,000. </t>
  </si>
  <si>
    <t xml:space="preserve">Costed as a toucan crossing for now to represent the shorter term aspirations. A full junction overhaul would generate higher costs but this isn't necessarily required to improve connectivity to the route. </t>
  </si>
  <si>
    <t xml:space="preserve">There is less room here to make improvements to separate cyclists in space. Therefore, improvements may need to be more focussed around signal changes. The removal of dedicated turning lanes and phases would be beneficial, although the wider impacts on network operation would need to be assessed. </t>
  </si>
  <si>
    <t xml:space="preserve">£5,000 per corner radii reduction and uncontrolled crossing at £10,950. </t>
  </si>
  <si>
    <t xml:space="preserve">Rate derived using three tender responses to a path project in Scotland. These have been averaged against an earthworks rate taken from 'Paths for All: Estimating price guide for path projects (2019)' </t>
  </si>
  <si>
    <t xml:space="preserve">- Suitable for slopes up to 1:3. 
- Existing ground cannot be re-profiled
- No retaining structures
- Traffic loading not required. 
- New slope will be landscaped to suit surroundings. </t>
  </si>
  <si>
    <t xml:space="preserve">There may be opportunities to regrade existing slopes without effecting stability. This could result in a reduction of imported fill being required, which will reduce costs. </t>
  </si>
  <si>
    <t>3m wide shared path on slope</t>
  </si>
  <si>
    <t xml:space="preserve">Nominal rate applied for minor road marking and signage works associated with speed limit change and extension of parking restrictions. </t>
  </si>
  <si>
    <r>
      <t>Priced as 5m wide, 6m long medium complexity bridge at £1500m</t>
    </r>
    <r>
      <rPr>
        <sz val="10"/>
        <color theme="1"/>
        <rFont val="Arial"/>
        <family val="2"/>
      </rPr>
      <t>²</t>
    </r>
  </si>
  <si>
    <t xml:space="preserve">- Mixed traffic environments can be perceived to be unsafe and unattractive by some users unless vehicle speeds and volumes are suitable for this approach. Traffic volumes and 85%ile speeds on Roper Lane are unknown, but it is expected that implementation of the measures listed will provide appropriate conditions for mixed traffic cycling. </t>
  </si>
  <si>
    <t xml:space="preserve">- Land in private ownership. 
-Current RoW passes very close to private garden. Realignment of the footpath to the proposed route is likely to be required to facilitate widening and upgrading status. </t>
  </si>
  <si>
    <t xml:space="preserve">- Land in private ownership. 
-Current RoW passes through private garden at western end. Realignment of the footpath to the proposed route is suggested to facilitate widening and upgrading status. </t>
  </si>
  <si>
    <t xml:space="preserve">- Structural assessment may reveal need for unforeseen works to overbridge. </t>
  </si>
  <si>
    <t>Bridges</t>
  </si>
  <si>
    <t>- Assumption that traffic volumes are within required levels for parallel crossing provision. 
- Suitability will require assessment at a subsequent design stage considering traffic speeds and volumes. 
- Opportunity to link to Halifax Railway Station scheme delivery.</t>
  </si>
  <si>
    <t xml:space="preserve">- Cycle users from Old Lane assumed to be within the carriageway at this location.
- Assumption that visibility requirements for traffic turning into Old Lane from the north can be met. </t>
  </si>
  <si>
    <t xml:space="preserve">- Route has poor visibility in places. 
- Opportunity to close as through route and enhance environment to support mixed traffic cycling. 
- Installation of modal filters can present a number of stakeholder / community engagement challenges. More specifically, they can be divisive schemes to implement. 
- Two small local plan housing development sites are located to the east of Long Lane. Installation of a modal filter should consider the desired effect on access to these locations. </t>
  </si>
  <si>
    <t xml:space="preserve">- Opportunity to enhance road environment to support mixed traffic cycling. 
- Opportunity to use space outside Bike Mill repair shop as cycle hub.
- A local plan development site (15 dwellings) is located to the south of Old Mill Dam Lane. </t>
  </si>
  <si>
    <t xml:space="preserve">- Link to Holdsworth Road
- Ownership of land is unknown.
- Gradient of east end may be steep (buildability/compliance).
- Part of link is bounded by high security fencing . Potential for users to feel unsafe. Can be mitigated with lighting in this area. </t>
  </si>
  <si>
    <t xml:space="preserve">- Route runs through private land. Ownership is unknown. 
- Works would be required next to a water course, with implications construction approach.
- Known ecological areas of interest, requiring  ecological assessment and possible mitigation.
- Local development sites (employment, housing) are located to the south of the proposed route. Opportunity to deliver/safeguard route alignment as part of development. </t>
  </si>
  <si>
    <t xml:space="preserve">- Deep Lane is constrained by boundary fences and walls, which could create construction challenges. 
- Retaining wall structure likely to house bats/small mammals. Full ecological survey required, with potential implication for programme and costs.
- Steep in parts (1:12 to 1:14), which could be uncomfortable and unattractive to some users. 
- Existing bridleway
- Large local plan development site exists to the south of Deep Lane. </t>
  </si>
  <si>
    <t xml:space="preserve">- Route passes through private land. A local plan development site is located on the land for a small number of dwellings. 
- Existing ROW would required upgrading, and proposed route preserved within any new development. </t>
  </si>
  <si>
    <r>
      <rPr>
        <sz val="10"/>
        <rFont val="Helvetica 55 Roman"/>
        <family val="2"/>
      </rPr>
      <t xml:space="preserve">- Shared use provision in urban areas are not generally recommended. However they are acceptable in order to provide continuity for a route. </t>
    </r>
  </si>
  <si>
    <t>- Lighting required on one side of the path</t>
  </si>
  <si>
    <t xml:space="preserve">- Lighting required on one side of path. </t>
  </si>
  <si>
    <t xml:space="preserve">-Lighting required on one side of access road. </t>
  </si>
  <si>
    <t xml:space="preserve">- Kerbing and edgings
- Fencing
- Landscaping
- Structures
- Diversion or protection of utility apparatus </t>
  </si>
  <si>
    <t xml:space="preserve">150mm sub base with a single layer of 60mm thickness of AC14 (asphalt concrete with a 14mm stone size). Path to have 2.5% crossfall. 300 x 300mm french drain alongside path on one side. </t>
  </si>
  <si>
    <t xml:space="preserve">150mm sub base with a single layer of 60mm thickness of AC14 (asphalt concrete with a 14mm stone size). Slopes built up and re-graded using imported fill. Fill material sloped back into existing ground profile using 1:2. Path to have 2.5% crossfall. </t>
  </si>
  <si>
    <t xml:space="preserve">- Kerbing and edgings
- Fencing
- Drainage
- Structures
- Diversion or protection of utility apparatus </t>
  </si>
  <si>
    <t>Varies</t>
  </si>
  <si>
    <t>Wayfinding Signage</t>
  </si>
  <si>
    <t>3mm thick aluminium plate, 75mm round galvanised steel pole with welded top cap, C16/20 concrete footing with 200mm surround.</t>
  </si>
  <si>
    <t xml:space="preserve">- Diversion or protection of utility apparatus </t>
  </si>
  <si>
    <t xml:space="preserve">Wayfinding signage is assumed to be of a consistent size. As such, the post and foundations specified should be applicable across all sign installations. </t>
  </si>
  <si>
    <t>- Minimum 2300mm height clearance for cycles (ground level to underside of plate)
- Colours as per sustrans NCN standard
- Includes reinstatement of existing ground</t>
  </si>
  <si>
    <t>- Security: Motion detected CCTV and secure gates at each tunnel portal</t>
  </si>
  <si>
    <t>Security (Tunnels)</t>
  </si>
  <si>
    <t>Tunnel Security</t>
  </si>
  <si>
    <t>Uncontrolled crossing</t>
  </si>
  <si>
    <t>Controlled Crossing</t>
  </si>
  <si>
    <t>Controlled Crossing (Separated)</t>
  </si>
  <si>
    <t>Zebra Crossing</t>
  </si>
  <si>
    <t>Zebra Crossing (Separated)</t>
  </si>
  <si>
    <t>Bi directional Kerb Separated</t>
  </si>
  <si>
    <t>One-way Kerb Separated</t>
  </si>
  <si>
    <t>Street Lighting Bollards</t>
  </si>
  <si>
    <t>Shared Path</t>
  </si>
  <si>
    <t>Improve Existing Traffic Free</t>
  </si>
  <si>
    <t>3m Wide Shared Path on slope</t>
  </si>
  <si>
    <t>Tab Name</t>
  </si>
  <si>
    <t xml:space="preserve">Sheet Number </t>
  </si>
  <si>
    <t>Corridor List</t>
  </si>
  <si>
    <t xml:space="preserve">Bespoke Cost </t>
  </si>
  <si>
    <t>Standard Cost</t>
  </si>
  <si>
    <t>Most Attractive and Advantageous - Tunnel Option</t>
  </si>
  <si>
    <t>Most Attractive and Advantageous - Alpine Option</t>
  </si>
  <si>
    <t>Next Preferred - Tunnel Option</t>
  </si>
  <si>
    <t>Next Preferred - Alpine Option</t>
  </si>
  <si>
    <t>Low Cost Alternative - Tunnel Option</t>
  </si>
  <si>
    <t>Low Cost Alternative - Alpine Option</t>
  </si>
  <si>
    <t xml:space="preserve">Corridor </t>
  </si>
  <si>
    <t>Tunnel Works</t>
  </si>
  <si>
    <t xml:space="preserve"> - Walking / Cycling path. This is included in another rate applied to each tunnel. 
- Path drainage, the walking and cycling path rate will include basic drainage, such as a gravity fed dish channel. </t>
  </si>
  <si>
    <t xml:space="preserve">- Structural check and improvements to Well Head Tunnel </t>
  </si>
  <si>
    <t>- Lighting through tunnel (and longest inverted arch)</t>
  </si>
  <si>
    <t>- Works in confined spaces may present construction challenges. 
- Ownership of tunnel is part private part HSE. Likely to require negotiation and ownership transfer
- Safety - unlikely to be used at night</t>
  </si>
  <si>
    <t>4m Wide Shared Tunnel Path</t>
  </si>
  <si>
    <t xml:space="preserve">4m wide Path in Tunnels (shared path). </t>
  </si>
  <si>
    <t xml:space="preserve">225mm sub base with Two-layers of bituminous surfacing comprising a lower layer of a coarser bituminous material: 60mm thickness of AC20 (asphalt concrete with a 20mm stone size) overlaid by a thinner surface course: 20mm thickness of AC10 (10mm stone size). 2.5% crossfall towards gravity fed concrete dish channel (225mm wide). </t>
  </si>
  <si>
    <t xml:space="preserve">- Follows longfall of former rail tunnels
- No major earthworks required
- No retaining structures
- Considers traffic loading for maintenance and emergency vehicle access. </t>
  </si>
  <si>
    <t xml:space="preserve">Where vehicle loading is not required, the path specification could be amended to a cheaper specification. However, at this stage it has been assumed that the paths within the tunnels will need to accommodate vehicle loading. </t>
  </si>
  <si>
    <t>- Fencing
- Landscaping
- Diversion or protection of utility apparatus 
- Structural improvement works to tunnels</t>
  </si>
  <si>
    <t xml:space="preserve">The rate has been developed using information that was previously applied to a Sustrans study undertaken in Northumberland. The rate has been uplifted to account for the addition of drainage, which has been calculated using a median of five rates submitted as part of a tender exercise for a DfT funded Sustrans project. </t>
  </si>
  <si>
    <t>Corridor Length (m)</t>
  </si>
  <si>
    <t>Option Length (m)</t>
  </si>
  <si>
    <t xml:space="preserve">A conservative rate used by an English Local Authority has been applied in lieu of any further information being available. </t>
  </si>
  <si>
    <t>- Operation and maintenance costs.</t>
  </si>
  <si>
    <t xml:space="preserve">- Installation of modal filter on Old Lane to south of Mill Lane to exclude through traffic
- Installation of modal filter on Woodhouse Road to prevent access to Old Lane from east. </t>
  </si>
  <si>
    <t>One-way light Separated Tracks</t>
  </si>
  <si>
    <t xml:space="preserve">Partial upgrade of junction. Does not require tactile facilitates on all arms as a result of recent mid-block crossing installation to the north of the junction. </t>
  </si>
  <si>
    <t xml:space="preserve">- Delivery reliant on third party renovation and ownership transfer of Queensbury Tunnel. 
- Route passes through tunnel - known ecological risk. Full assessment required and likely mitigation measures. Potential to add to programme and costs. 
- Extensive ancillary works required to ensure secure and attractive cycling environment in addition to provision of route. 
- Opportunity to provide landmark heritage attraction at heart of wider route. 
- May be personal safety issues associated with a long tunnel. Access for emergency services may be challenging, particularly when getting to the tunnel portals. </t>
  </si>
  <si>
    <t xml:space="preserve">Opportunity to ensure a good level of coherence across all alignments. </t>
  </si>
  <si>
    <t>- Typical residential street
- Column spacing's at 30m
- Not to used on main or major roads
- Includes ducting and connections</t>
  </si>
  <si>
    <t xml:space="preserve">- Temporary traffic management
- Diversion or protection of utility apparatus </t>
  </si>
  <si>
    <t xml:space="preserve">The rate has been taken from information published by a English highway authority. This has been averaged against tendered rates for a school street project in Wales. </t>
  </si>
  <si>
    <t xml:space="preserve">There is very little public information available to understand the costs associated with providing security measures within a former rail tunnel. The scope of this study has not enabled contact to be made with specialised security organisations to gain a better understanding of costs. Much of the costs will depend on the design of the system, which are unknown at this stage. </t>
  </si>
  <si>
    <t>CCTV camera site.</t>
  </si>
  <si>
    <t>- One camera installed at each tunnel portal to monitor traffic entering / leaving the tunnels.
- Camera installed every 500m.
- Includes electrical and communications connection.</t>
  </si>
  <si>
    <t>-3m traffic free
- TRO to close road to through traffic/declassify as road (see below line for new modal filters)</t>
  </si>
  <si>
    <t>Queensbury Tunnel Maintenance</t>
  </si>
  <si>
    <t>Tunnel Maintenance</t>
  </si>
  <si>
    <t>Other Maintenance</t>
  </si>
  <si>
    <t xml:space="preserve">Queensbury Tunnel Works inc. ventilation </t>
  </si>
  <si>
    <t xml:space="preserve">Construction Costs (without preliminaries) </t>
  </si>
  <si>
    <t>Cost Estimates: Construction</t>
  </si>
  <si>
    <t>Construction Cost Estimate Notes</t>
  </si>
  <si>
    <t>Ecology Cost</t>
  </si>
  <si>
    <t>Design Challenges</t>
  </si>
  <si>
    <t xml:space="preserve">Land &amp; Legal Required? </t>
  </si>
  <si>
    <t>Ecological Assessment Required?</t>
  </si>
  <si>
    <t>Queensbury Tunnel Design &amp; Development @3%</t>
  </si>
  <si>
    <t xml:space="preserve">Queensbury Tunnel Contingency </t>
  </si>
  <si>
    <t>Calculated as percentage of construction costs without preliminaries. Applied to individual links.</t>
  </si>
  <si>
    <t xml:space="preserve">Calculated as percentage of construction costs without preliminaries. Applied to individual links. </t>
  </si>
  <si>
    <t xml:space="preserve">Calculated as percentage of construction costs with preliminaries. Applied to whole scheme. </t>
  </si>
  <si>
    <t xml:space="preserve">Calculated as percentage of construction costs without preliminaries. Applied to whole scheme. </t>
  </si>
  <si>
    <t xml:space="preserve">Calculated as percentage of construction costs with preliminaries and contingency. Applied to whole scheme. </t>
  </si>
  <si>
    <r>
      <t xml:space="preserve">Total </t>
    </r>
    <r>
      <rPr>
        <b/>
        <i/>
        <sz val="11"/>
        <color theme="1"/>
        <rFont val="Calibri"/>
        <family val="2"/>
        <scheme val="minor"/>
      </rPr>
      <t>corridor</t>
    </r>
    <r>
      <rPr>
        <b/>
        <sz val="11"/>
        <color theme="1"/>
        <rFont val="Calibri"/>
        <family val="2"/>
        <scheme val="minor"/>
      </rPr>
      <t xml:space="preserve"> cost (excl. maintenance) </t>
    </r>
  </si>
  <si>
    <t xml:space="preserve">Costs </t>
  </si>
  <si>
    <t>Applied to</t>
  </si>
  <si>
    <t xml:space="preserve">Private land, no current RoW beyond Royd lane. </t>
  </si>
  <si>
    <t xml:space="preserve">Calculated Optimism Bias for AMAT </t>
  </si>
  <si>
    <t>Total Tunnel Cost</t>
  </si>
  <si>
    <t>Scheme Costs</t>
  </si>
  <si>
    <t xml:space="preserve">Construction Costs </t>
  </si>
  <si>
    <t xml:space="preserve">% </t>
  </si>
  <si>
    <t>How applied</t>
  </si>
  <si>
    <t>Item</t>
  </si>
  <si>
    <t>Non-construction up-front costs</t>
  </si>
  <si>
    <t xml:space="preserve">Operation and Maintenance </t>
  </si>
  <si>
    <t>Tunnels</t>
  </si>
  <si>
    <t>Non-tunnel, non-highway</t>
  </si>
  <si>
    <t>%</t>
  </si>
  <si>
    <t xml:space="preserve">Highway </t>
  </si>
  <si>
    <t xml:space="preserve">In discussion with CBMDC, highway infrastructure maintenance subsumed into separate highway budget. </t>
  </si>
  <si>
    <t>Ecology costs @</t>
  </si>
  <si>
    <t>Land &amp; Legal Costs @</t>
  </si>
  <si>
    <t>Construction Preliminaries @</t>
  </si>
  <si>
    <t>Contingency @</t>
  </si>
  <si>
    <t>Design &amp; development @</t>
  </si>
  <si>
    <t>Length (m)</t>
  </si>
  <si>
    <t>'- Inspection and any required works to under-bridge (under road) - condition unknown.</t>
  </si>
  <si>
    <t>Land &amp; Legal Cost</t>
  </si>
  <si>
    <t>- Structural works / improvements required to enable use of the tunnel as an active travel corridor. 
- Costed separately in Scheme Costs
- Ecology and Land costs assumed borne by others in order to carry out structural works</t>
  </si>
  <si>
    <t>- Route runs through private land. Ownership is unknown. 
- Limited opportunity to provide high-quality links to settlement to west. Potential to address through development access. 
- Hillside location (side slope): 3m wide shared route would be lower cost but could aversely impact on safety, attractiveness and level of use if volumes of users is higher than expected. Wider and/or separated tracks would provide great all-year-round access for all but would be considerably more costly.
- 5% gradient max;</t>
  </si>
  <si>
    <t xml:space="preserve">- Opportunity to link greenway provision to planned TCF schemes on Ovenden Way/Ovenden Road. 
- Broad Tree Road is a steep, cobbled road. May not be suitable for all users. 
- Broad Tree Road/Mill Lane provides link between West Halifax and A647. Risk that at peak hours traffic is higher than acceptable for cycling in Mixed Traffic, leading to greater level of provision and associated programme/cost impacts. </t>
  </si>
  <si>
    <t>- Landowner agreement req., private land, ownership known.</t>
  </si>
  <si>
    <t xml:space="preserve">- Access required through boundary fence to recent development.  </t>
  </si>
  <si>
    <t>- Land subject to planning permission for new development (08/00654/FUL). Landowner known. 
- Investigate whether path proposals be included in planning application development. Contact with developer / land owner required.
- Steep slope of quarry land and limited space for new ramp - may require extension of ramp within tunnel, or extended land-take on surface. 
- North end at tunnel portal is currently submerged and overgrown
- Assume that fencing is required on one side
- Ecology - through Open Mosaic &amp; SSSI Impact Risk zone</t>
  </si>
  <si>
    <t>- One way cycle lanes in both directions.</t>
  </si>
  <si>
    <t>- 4 No. junction reconfigurations. Protected space for cycles provided through all of the junctions, including right turns.</t>
  </si>
  <si>
    <t>- Provision dependent on A629 Halifax Town Centre Scheme (Phase 2) (WY+)</t>
  </si>
  <si>
    <t xml:space="preserve">-Assumes set of double speed cushions every 40m and some horizontal deflection (buildouts) to create an overall narrower street. 
- Includes road markings and signage
- Includes changes to street lighting where required
- Includes minor modifications to highway drainage </t>
  </si>
  <si>
    <t xml:space="preserve">Combination of vertical and horizontal traffic calming measures as required. </t>
  </si>
  <si>
    <t xml:space="preserve">1.5m wide kerb separated cycle track </t>
  </si>
  <si>
    <t>K103</t>
  </si>
  <si>
    <t xml:space="preserve">Public highway </t>
  </si>
  <si>
    <t xml:space="preserve">- 1 No. Modal Filter on Low Mill Lane </t>
  </si>
  <si>
    <t>- Structural check and improvements to Hamers Hill Tunnel (135m long)</t>
  </si>
  <si>
    <t>K142a</t>
  </si>
  <si>
    <t>Fence on east side of route to housing estate</t>
  </si>
  <si>
    <t>Fence northern side only</t>
  </si>
  <si>
    <t>B113</t>
  </si>
  <si>
    <t xml:space="preserve">The rate is taken from 'Paths for All: Estimating price guide for path projects (2019)'. The rate provided for a wayfinding sign is £200 and £250, with an average of £225. </t>
  </si>
  <si>
    <t>The rate has been developed to cover a combination of the following types of work: 
+ Repointing
+ Brickwork repair
+ Brickwork replacement
+ Stonework replacement
+ SCL patch repairs
+ SCL full lining circumferential lining (deformed lining lengths)
+ ARMCO Backfill
+ Grouting (between brick leaves and external voids)</t>
  </si>
  <si>
    <t>The rate has been developed using:
- Whitby to Staithes feasibility Study (Sustrans 2020)
- Queensbury Tunnel Cost Comparisons (Queensbury Tunnel Society 2017)
- Queensbury Tunnel Study (HRE-Jacobs 2021). 
- Queensbury Tunnel Phase 2: Technical Summary Structure Number: HQU/3D (AECOM 2018)</t>
  </si>
  <si>
    <t xml:space="preserve"> The rates considered were as follows:
+ Queensbury Tunnel - BRB/Jacobs (2009). Minimalist scope to enable entry for inspections. £525 per lin/m. NOT INCLUDED. SCOPE DOES NOT CONSIDER REOPENING THE TUNNEL AS AN ACTIVE TRAVEL CORRIDOR.
+  Whitby to Staithes (Sandsend Tunnel).  £861 per lin/m - NOT INCLUDED. W2S (Kettleness Tunnel) CONSIDERED A MORE CONSERVATIVE RATE
+ Queensbury Tunnel - QTS Engineering Team (2016). £1,229 - NOT INCLUDED. W2S (Kettleness Tunnel) CONSIDERED A MORE CONSERVATIVE RATE
+ Whitby to Staithes (Kettleness Tunnel).  £1,502 per lin/m - INLCUDED AS THE LOWER LIMIT OF THE AVERAGED RATE
+ Queensbury Tunnel - AECOM (2018). £2,031 per lin/m - INLCUDED AS THE UPPER LIMIT OF THE AVERAGED RATE
+ Queensbury Tunnel - HRE/Jacobs (2021).  £9,367 per lin/m - NOT INCLUDED. VARIENCE COMPARED TO OTHER SIMILAR STUDIES IS CONSIDERED TOO HIGH FOR THE PURPOSES OF THIS EXERCISE. 
+ Queensbury Tunnel - HRE/Jacobs (2016).  £15,470 per lin/m - NOT INCLUDED. CONSIDERED TO BE SUPERSEDED BY 2021 REPORT
The rates estimated for the Whitby to Staithes tunnels are of the same magnitude to those developed by QTS in their 2016 report and those by AECOM in their 2018 report. The assessment undertaken by QTS considers the majority of the Queensbury Tunnel to be in a 'Fair' condition, whereas the condition of the Whitby to Staithes tunnels was considered to be 'fair to poor'. As such, when considering W2S and QTS rates, the rate of £1,502 per linear metre was considered to be a conservative but appropriate 'lower band'  for the purposes of developing an averaged rate to apply to tunnels other than Queensbury Tunnel. The unit rate of £2,031 per linear metre has been applied as the upper band for the purposes of developing an averaged rate. The £9,367 rate developed as a part of the Jacobs 2021 reporting was considered to deviate too much from the studies undertaken by QTS, Sustrans and AECOM. As such, it was not considered as a part of this costing exercise.
In practice, some structures will require more or less work than others. Therefore, whilst the rate may seem excessive for some of the better condition structures, this would be balanced out by a higher level of work being required in the more poor condition structures. </t>
  </si>
  <si>
    <t>Per linear metre per year</t>
  </si>
  <si>
    <t>Developed using</t>
  </si>
  <si>
    <t>+ Queensbury Tunnel - HRE/Jacobs (2021)</t>
  </si>
  <si>
    <t>Rate build up</t>
  </si>
  <si>
    <t>+ Structural Examinations (aggregate of visual and detailed examination on a three year cycle) - £7,890/year
+ Drainage Maintenance £2,500/year
+ Periodic Repairs (aggregate of ten year cycle) £11,000/year</t>
  </si>
  <si>
    <t xml:space="preserve">+ Assumes that no pumps or ventilation is present within the tunnels. 
+ Doesn't include maintenance of path side drainage, this is addressed within another rate. </t>
  </si>
  <si>
    <t>%age rate to apply to non QT tunnels</t>
  </si>
  <si>
    <t xml:space="preserve"> 230m x £9.35 = £2,150.50
 £2,150.50 / £406,180 (Construction cost) = 0.5%</t>
  </si>
  <si>
    <t>Non-Tunnel Maintenance (Traffic-free routes outside of the highway boundary)</t>
  </si>
  <si>
    <r>
      <t>2.35 per m</t>
    </r>
    <r>
      <rPr>
        <sz val="10"/>
        <color theme="1"/>
        <rFont val="Arial"/>
        <family val="2"/>
      </rPr>
      <t>²</t>
    </r>
    <r>
      <rPr>
        <sz val="10"/>
        <color theme="1"/>
        <rFont val="Calibri"/>
        <family val="2"/>
        <scheme val="minor"/>
      </rPr>
      <t xml:space="preserve"> </t>
    </r>
  </si>
  <si>
    <t>Per square metre per year</t>
  </si>
  <si>
    <t>Paths for All: Estimating price guide for path projects (2019)'</t>
  </si>
  <si>
    <t>Herbicide Application - 0.25 per m2
Litter pick - 0.15 per m2
Verge mowing - 0.35 per m2
Leaf Clearance - 0.10 per m2
Cut back of trees / shrubs - 0.07 per m2
Bound Surface Repair - 28.70 per m2</t>
  </si>
  <si>
    <t xml:space="preserve">Assumes that bound surface repairs will only be required across 5% of the infrastructure per year. All other maintenance items are assumed to be required across 100% of the infrastructure. </t>
  </si>
  <si>
    <t>3m wide path - £2.35 x 3 = £7.05 / £155 = 4.55%
4m wide path - £2.35 x 4 = £9.40 / £188 = 5%
5m wide path - £2.35 x 5 = £11.75 / £230 = 5.11%</t>
  </si>
  <si>
    <t>Maintenance</t>
  </si>
  <si>
    <t>Reference only, applied as percentage</t>
  </si>
  <si>
    <t xml:space="preserve">Public Highway </t>
  </si>
  <si>
    <t>- Fencing required on both sides</t>
  </si>
  <si>
    <t>- Trotting strip aligned to the north side of properties to link with bridleway along Holts Lane</t>
  </si>
  <si>
    <t xml:space="preserve">- Fencing east side (966m) </t>
  </si>
  <si>
    <t>- Existing traffic free NCN, currently 2-3m in most places. 
- Widen where possible and/or provide adjacent trotting strip where possible. (Widen by 1 to 2m) Length excludes Hewenden Viaduct and Cullingworth Viaduct
- Replace gates &amp; barriers with 1.5m spaced bollards at approx. 5 locations.
- Improve signing (e.g. at approach to farm track crossing).</t>
  </si>
  <si>
    <t>- Fencing on west side only</t>
  </si>
  <si>
    <t>- 3m wide traffic free route
- Assumed no new bridge required: existing track passes over beck with wide platform</t>
  </si>
  <si>
    <t>Total maintenance per year</t>
  </si>
  <si>
    <t>Carriageway Narrowing</t>
  </si>
  <si>
    <t>£5000 per buildout</t>
  </si>
  <si>
    <t xml:space="preserve">- Cycling in mixed traffic environment. Segment too short to warrant any traffic calming interventions. Traffic volumes and speeds assumed to be very low. 
- Resurface Kimberley Street </t>
  </si>
  <si>
    <t>- Cycling in mixed traffic environment.
- Speed limit reduced to 20mph
'Modal filter east of Hazel Hurst Road</t>
  </si>
  <si>
    <t xml:space="preserve">- Cycling in mixed traffic environment. 
- Residential street with existing modal filter (Moor Lane)
- Reduce geometry of junctions at all side roads to ensure vehicles speeds to / from Moor Lane are reduced. </t>
  </si>
  <si>
    <t xml:space="preserve">'- Traffic volumes on Preston Street unknown. Traffic survey may indicate need for additional measures to reduce traffic volume and/or speed to comply with LTN1/20. This may introduce additional cost.
- Opportunity to link into Thornton Road TCF cycle superhighway. Potential to make this link further west if more appropriate. </t>
  </si>
  <si>
    <t xml:space="preserve">Formalise on-street parking on one side by creating a wider footway that can be parked on. This will narrow the carriageway and reduce traffic speeds. </t>
  </si>
  <si>
    <t>Bridge Inspection and Works</t>
  </si>
  <si>
    <t xml:space="preserve">Other (Non-tunnel) Maintenance Cost </t>
  </si>
  <si>
    <t>- Cycling in mixed traffic environment 
- Create parking areas that are raised and contrast with the adjacent footways. This can then be used by pedestrians when nobody is parking and it will also serve to reduce the width of the carriageway, slowing vehicle speeds and making the environment more suitable for cycling. 
- Existing 20mph zone.</t>
  </si>
  <si>
    <t>- Cycling in mixed traffic environment - Allow for 8x buildouts to narrow carriageway and calm traffic speeds between modal filters. 
- Speed limit reduced to 20mph</t>
  </si>
  <si>
    <t>- Cycling in mixed traffic environment - Allow for 4x buildouts to narrow carriageway and calm traffic speeds between modal filters. 
- Speed limit reduced to 20mph</t>
  </si>
  <si>
    <t xml:space="preserve">- Cycling in mixed traffic environment: reduce speed limit to 20mph on Broad Tree Road
- introduce 2x buildouts every 40-50m to reduce the carriageway down to a single running lane in the centre of the road. This will formalise what looks like parking areas that have been delineated by cobbles at different orientations. Total 6x buildouts. </t>
  </si>
  <si>
    <t>- Cycling in mixed traffic environment. 2x buildouts to create strategic pinch points and slow vehicles speeds. 
- Speed limit reduced to 20mph</t>
  </si>
  <si>
    <t xml:space="preserve">- Cycling in mixed traffic environment. Create pinch points with buildouts. Provide cycle bypasses if room is sufficient. Assumed 1x buildout on each side of the road. </t>
  </si>
  <si>
    <t xml:space="preserve">Modal filter to create appropriate traffic volumes on Preston Street. </t>
  </si>
  <si>
    <t xml:space="preserve">Annual inspection at £500. Condition of structure unknown but assumed up to £5,000 of repair work required. </t>
  </si>
  <si>
    <t>Calculated Construction Cost excluding tunnel and bridge works (£)</t>
  </si>
  <si>
    <t>Calculated Construction Cost tunnel and bridge works (£)</t>
  </si>
  <si>
    <t>Construction Costs - without Preliminaries</t>
  </si>
  <si>
    <t>Total Cost</t>
  </si>
  <si>
    <t>Non-tunnel &amp; bridge</t>
  </si>
  <si>
    <t>Tunnel &amp; bridge (structures only)</t>
  </si>
  <si>
    <t>Bridge and tunnel (structures only, excluding Queensbury Tunnel)</t>
  </si>
  <si>
    <t>Bridge &amp; Tunnel (Structures only)</t>
  </si>
  <si>
    <t>Construction Preliminaries</t>
  </si>
  <si>
    <t>Bridleway (B112-113a). Footpath (B113-114).</t>
  </si>
  <si>
    <t>Public Highway</t>
  </si>
  <si>
    <t>Private land - current footpath</t>
  </si>
  <si>
    <t>Private land - footpath</t>
  </si>
  <si>
    <t>Private land - bridleway</t>
  </si>
  <si>
    <t>4.5m Wide Shared Path</t>
  </si>
  <si>
    <t>4.5m Wide Shared Tunnel Path</t>
  </si>
  <si>
    <t>- 4.5m wide traffic free route</t>
  </si>
  <si>
    <t>- 4.5m wide traffic free route round the edge of recreation ground</t>
  </si>
  <si>
    <t>- 4.5m wide traffic free route through wooded and sloping area, may be challenging; suitability not confirmed</t>
  </si>
  <si>
    <t xml:space="preserve">- 4.5m wide traffic free route through green scrubland area, fairly open with some areas of woodland. </t>
  </si>
  <si>
    <t>- 4.5m wide traffic free route between inverted arches / tunnels, total length shown.
- Four sections of lengths 112m, 70m, 34.5m &amp; 114.5m.</t>
  </si>
  <si>
    <t>- 4.5m wide traffic free route either side of Hamers Hill Tunnel, total length shown
- Two sections of lengths 75m &amp; 410m</t>
  </si>
  <si>
    <t xml:space="preserve">- Provision of 4.5m wide traffic-free route through tunnel </t>
  </si>
  <si>
    <t>- Provision of 4.5m wide traffic free route
- Passes below Thornton Road via a bridge, maintained by Bradford Highways Service.</t>
  </si>
  <si>
    <t xml:space="preserve">- Route passes through private land. Ownership unknown. 
- Route requires bridleway application. 
- Possible coherence issue between 4.5m and 3m traffic sections down Deep Lane. Consistent 3m provision may be preferable even though 4.5m possible in this section. 
- Route ends at busy road at B113a. </t>
  </si>
  <si>
    <t>- Provision of 4.5m wide traffic-free route through structures (total length through structures is shown)</t>
  </si>
  <si>
    <t>- Provision of 4.5m wide traffic-free route through tunnel (approximate length shown)</t>
  </si>
  <si>
    <t xml:space="preserve">- Further investigation required to understand whether cobbles need to be retained due to heritage value.
- Route passes through private land. Ownership is unknown. 
- Route descends to Shibden Brook to re-ascend to Long Lane. Gradients (10%) exceed guidance maximum. 
- The presence of irreplaceable habitat (ancient woodland) alongside this link may impact on programme times. </t>
  </si>
  <si>
    <t xml:space="preserve">- Upgrade from footpath to Bridleway required
- Use of private driveway may result in objections from the landowner, who is not currently known. 
- Gradient is 1:13 for approx. 50m - exceeds recommended maximum for short section. </t>
  </si>
  <si>
    <t xml:space="preserve">- Shared use provision in urban area not ideal under LTN1/20, as higher volumes of pedestrians may be encountered. Insufficient highway widths to provide separated infrastructure. However, provision ensures continuity of overall route. 
- Some users may find the shared provision at this location unattractive and uncomfortable. Furthermore, some users may perceive the infrastructure to be unsafe. </t>
  </si>
  <si>
    <t xml:space="preserve">- Gradient (14%) exceeds recommended maximum. Route is existing highway. </t>
  </si>
  <si>
    <t xml:space="preserve">- Route passes through private land. Ownership is unknown. 
- Route passes past area of ancient woodland. Ecological assessments will be required and mitigation likely.
- Working alongside a watercourse. 
- Gradients on ascent to Long Lane are steep (10%), which may be uncomfortable for some users. </t>
  </si>
  <si>
    <t xml:space="preserve">- Existing controlled crossing to north of junction provides a safe option for pedestrians. Space for cycle turning to be managed at junction.  Clear signage required on approach to junction to avoid confusion.  </t>
  </si>
  <si>
    <t>Speed limit</t>
  </si>
  <si>
    <t xml:space="preserve">£5,000 per corner radii reduction. </t>
  </si>
  <si>
    <t>Construction Only Rate (per unit)</t>
  </si>
  <si>
    <t>- Construct 3m wide traffic free route through an existing narrow PRoW trodden through overgrowth, earthworks may be required to flatten/stabilise side slope.</t>
  </si>
  <si>
    <t xml:space="preserve">- Cobbled surface unlikely to be comfortable for all users. Minimum width required to be re-laid to provide smooth surface. 
- Northern end of scheme interfaces with proposals for Sustrans Cavendish Street scheme. Schemes to be reviewed and potential for programme/cost implications is incompatible. 
- Area through industrial estate may not be attractive to all users. Challenge to separate LGV from users. 
- Assumed volume of traffic low after filters in place. May require additional measures if volumes higher than anticipated. 
- Proposed filtering of Park Wood Road likely to generate public opposition with risks to programme and costs. 
- Opportunity to provide improved environment and air quality outside residences and primary school. </t>
  </si>
  <si>
    <t xml:space="preserve">- Reduced corner radii on junction between Parkwood Street and Park Lane improved </t>
  </si>
  <si>
    <t xml:space="preserve">- Known ecological constraints will require full survey and likely mitigation
- Requirement to alter road status and adoption of highway
- proposed development site at north end of route may require access from route
- Gradient (8-10%) exceeds recommended maximum, but is present on an existing route 
- Potentially width available for 4.5m shared + trotting strip, but constriction near proposed modal filter. </t>
  </si>
  <si>
    <t>- Route across private land. Ownership unknown. 
-Inaccessible and unvisited.
- Route likely to require ecological mitigation.
- Potential link to Denholme and Doe Park Water Activity Centre, though Foster Park View is steep.</t>
  </si>
  <si>
    <t xml:space="preserve">- Existing GNRT. 
- Opportunity for improvement as part of Thornton Road TCF scheme
- Currently average 2-2.5m north of Headley Lane (excluding viaduct) and south of Cockin Lane ; 4m wide for 400m north from Cockin Lane. 
- Potential to widen in most places (say 2km), some tree loss expected.
- At-grade crossings not costed - possible future improvement. </t>
  </si>
  <si>
    <t>Tunnel Maintenance Cost (inc. cycle &amp; walking infrastructure)</t>
  </si>
  <si>
    <t xml:space="preserve">- Average gradient 7%, but this route follows the existing road.
- Opportunity to connect station and town centre schemes.
- Gradient may serve to exclude some users who may not consider the route to be comfortable or attractive. </t>
  </si>
  <si>
    <t xml:space="preserve">- Route based on section 'B' in Old Lane/Valley Floor Cycle Corridor consultation, with enhancements. 
- Cobbled surface of Bowling Dyke/Lower Old Lane presents comfort challenge and may require some improvement. 
- Gradient along Old Lane exceeds recommended maximum in LTN1/20, but is follows an existing road.
- Business access from Bowling Dyke Road: route would require careful signing/narrowing to ensure safety of cycles/pedestrians.
- Opportunity to implement in short term, with Valley Floor option as long-term improved provision plan. 
- Risk that without additional measures to enhance environment and exclude through traffic completely, route may be unattractive as approach to traffic-free stretch. 
- Opportunity to provide information boards where view over formal railway line is clear. 
- Avoids ecological challenges present along Valley Floor option. 
- Installation of modal filters can present a number of stakeholder / community engagement challenges. More specifically, they can be divisive schemes to implement. </t>
  </si>
  <si>
    <t>Construction (without preliminaries)</t>
  </si>
  <si>
    <t>Ecology @</t>
  </si>
  <si>
    <t>Land &amp; Legal @</t>
  </si>
  <si>
    <t>Design &amp; Development @</t>
  </si>
  <si>
    <t>Bridge &amp; Tunnel Structures option cost</t>
  </si>
  <si>
    <t xml:space="preserve">Queensbury Tunnel Construction </t>
  </si>
  <si>
    <t>Queensbury Tunnel Design &amp; Development</t>
  </si>
  <si>
    <t>Queensbury Tunnel Option Cost</t>
  </si>
  <si>
    <t>Queensbury Tunnel maintenance per year</t>
  </si>
  <si>
    <t>Queensbury Tunnel</t>
  </si>
  <si>
    <t>C&amp;W Infrastructure</t>
  </si>
  <si>
    <t>Structures only</t>
  </si>
  <si>
    <t>Cycling &amp; walking (C&amp;W) infrastructure</t>
  </si>
  <si>
    <t>C&amp;W infrastructure maintenance per year</t>
  </si>
  <si>
    <t xml:space="preserve">Queensbury Tunnel </t>
  </si>
  <si>
    <t>Cycling &amp; Walking Infrastructure (Excludes bridge &amp; tunnel structures)</t>
  </si>
  <si>
    <t xml:space="preserve">4.5m wide Traffic-free Route (shared path). </t>
  </si>
  <si>
    <t xml:space="preserve">Ecology  </t>
  </si>
  <si>
    <t xml:space="preserve">Land &amp; Legal </t>
  </si>
  <si>
    <t xml:space="preserve">Contingency </t>
  </si>
  <si>
    <t xml:space="preserve">Design &amp; Development </t>
  </si>
  <si>
    <t xml:space="preserve">- Tunnels are considered to be in a 'poor to fair' or better condition.
- The above measures will only be used as and when required. I.e., the rate does not consider shotcrete being used through extent of tunnels.
- Tunnel drainage is no longer suitable and the path will need to be drained by alternative methods. </t>
  </si>
  <si>
    <r>
      <t>m</t>
    </r>
    <r>
      <rPr>
        <sz val="10"/>
        <color theme="1"/>
        <rFont val="Arial"/>
        <family val="2"/>
      </rPr>
      <t>²</t>
    </r>
  </si>
  <si>
    <t>Project:</t>
  </si>
  <si>
    <t>Queensbury Tunnel Greenway Feasibility Study</t>
  </si>
  <si>
    <t>Compiled by:</t>
  </si>
  <si>
    <t>Document ref:</t>
  </si>
  <si>
    <t>Date Updated:</t>
  </si>
  <si>
    <t xml:space="preserve">Design Schedule and Scheme Costs </t>
  </si>
  <si>
    <t>KA/MT/AG/ML</t>
  </si>
  <si>
    <t>Design Schedule</t>
  </si>
  <si>
    <t>Bi-Directional Kerb Separated Track (On-Road)</t>
  </si>
  <si>
    <t>Usage Uplift Category</t>
  </si>
  <si>
    <t xml:space="preserve">Tunnel </t>
  </si>
  <si>
    <t xml:space="preserve">Greenway </t>
  </si>
  <si>
    <t>Tunnel (n/a)</t>
  </si>
  <si>
    <t>Cycling and Walking Infrastructure Option Cost</t>
  </si>
  <si>
    <t>Agreed remove and replace with 66% OB</t>
  </si>
  <si>
    <t>Optimism Bias applied to inflated &amp; varied costs</t>
  </si>
  <si>
    <t>Optimism Bias (C&amp;W infrstructure)</t>
  </si>
  <si>
    <t xml:space="preserve">Optimism Bias  (Bridge &amp; Tunnel) </t>
  </si>
  <si>
    <t>Optimism Bias (Queensbury Tunnel)</t>
  </si>
  <si>
    <t>N/A</t>
  </si>
  <si>
    <t xml:space="preserve">Other tunnel maintenance per year </t>
  </si>
  <si>
    <t>Agreed OB application</t>
  </si>
  <si>
    <t>C&amp;W infrastructure OB</t>
  </si>
  <si>
    <t>Agree remain as draft: Stage 1 Roads (I have updated 44% to 46% in keeping with latest version of TAG</t>
  </si>
  <si>
    <t xml:space="preserve">Tunnel &amp; Bridge OB (Non- Queensbury) </t>
  </si>
  <si>
    <t>Agree remain as draft: Stage 1 Fixed links</t>
  </si>
  <si>
    <t>Queensbury Tunnel OB</t>
  </si>
  <si>
    <t>Agreed apply 66% OB to tunnel segment</t>
  </si>
  <si>
    <t xml:space="preserve">Total cost including OB </t>
  </si>
  <si>
    <t>Total Option Cost</t>
  </si>
  <si>
    <t>Check composite total matches</t>
  </si>
  <si>
    <t xml:space="preserve">* To account for inclusion of different alignments in Tunnel or Greenway Uplift case, each route is divided into different columns. The check line at the bottom of the costs should stay Green. If you get a red "NO" it means that the alignments in the route as a whole are not correct. </t>
  </si>
  <si>
    <t>10533-N-SC-02-0000-01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</si>
</sst>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44" formatCode="_-&quot;£&quot;* #,##0.00_-;\-&quot;£&quot;* #,##0.00_-;_-&quot;£&quot;* &quot;-&quot;??_-;_-@_-"/>
    <numFmt numFmtId="43" formatCode="_-* #,##0.00_-;\-* #,##0.00_-;_-* &quot;-&quot;??_-;_-@_-"/>
    <numFmt numFmtId="164" formatCode="&quot;£&quot;#,##0.00"/>
    <numFmt numFmtId="165" formatCode="_-* #,##0_-;\-* #,##0_-;_-* &quot;-&quot;??_-;_-@_-"/>
  </numFmts>
  <fonts count="43" x14ac:knownFonts="1">
    <font>
      <sz val="11"/>
      <color theme="1"/>
      <name val="Calibri"/>
      <family val="2"/>
      <scheme val="minor"/>
    </font>
    <font>
      <b/>
      <sz val="11"/>
      <color theme="1"/>
      <name val="Calibri"/>
      <family val="2"/>
      <scheme val="minor"/>
    </font>
    <font>
      <sz val="11"/>
      <name val="Calibri"/>
      <family val="2"/>
      <scheme val="minor"/>
    </font>
    <font>
      <sz val="11"/>
      <color theme="1"/>
      <name val="Wingdings"/>
      <charset val="2"/>
    </font>
    <font>
      <sz val="11"/>
      <color rgb="FF00B0F0"/>
      <name val="Calibri"/>
      <family val="2"/>
      <scheme val="minor"/>
    </font>
    <font>
      <sz val="11"/>
      <color rgb="FF7030A0"/>
      <name val="Calibri"/>
      <family val="2"/>
      <scheme val="minor"/>
    </font>
    <font>
      <sz val="11"/>
      <color theme="5"/>
      <name val="Calibri"/>
      <family val="2"/>
      <scheme val="minor"/>
    </font>
    <font>
      <i/>
      <sz val="10"/>
      <name val="Calibri"/>
      <family val="2"/>
      <scheme val="minor"/>
    </font>
    <font>
      <b/>
      <sz val="14"/>
      <color theme="0" tint="-0.499984740745262"/>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b/>
      <sz val="10"/>
      <name val="Wingdings"/>
      <charset val="2"/>
    </font>
    <font>
      <sz val="10"/>
      <name val="Wingdings"/>
      <charset val="2"/>
    </font>
    <font>
      <b/>
      <sz val="10"/>
      <color theme="1"/>
      <name val="Helvetica 55 Roman"/>
      <family val="2"/>
    </font>
    <font>
      <sz val="10"/>
      <color theme="1"/>
      <name val="Helvetica 55 Roman"/>
      <family val="2"/>
    </font>
    <font>
      <sz val="10"/>
      <name val="Helvetica 55 Roman"/>
      <family val="2"/>
    </font>
    <font>
      <b/>
      <sz val="10"/>
      <name val="Helvetica 55 Roman"/>
      <family val="2"/>
    </font>
    <font>
      <sz val="10"/>
      <color rgb="FF7030A0"/>
      <name val="Helvetica 55 Roman"/>
      <family val="2"/>
    </font>
    <font>
      <sz val="10"/>
      <color rgb="FF00B0F0"/>
      <name val="Helvetica 55 Roman"/>
      <family val="2"/>
    </font>
    <font>
      <sz val="10"/>
      <color theme="5"/>
      <name val="Helvetica 55 Roman"/>
      <family val="2"/>
    </font>
    <font>
      <b/>
      <sz val="10"/>
      <color theme="5"/>
      <name val="Helvetica 55 Roman"/>
      <family val="2"/>
    </font>
    <font>
      <b/>
      <sz val="11"/>
      <name val="Calibri"/>
      <family val="2"/>
      <scheme val="minor"/>
    </font>
    <font>
      <sz val="10"/>
      <color theme="1"/>
      <name val="Arial"/>
      <family val="2"/>
    </font>
    <font>
      <b/>
      <sz val="11"/>
      <name val="Wingdings"/>
      <charset val="2"/>
    </font>
    <font>
      <strike/>
      <sz val="10"/>
      <name val="Helvetica 55 Roman"/>
      <family val="2"/>
    </font>
    <font>
      <sz val="11"/>
      <color theme="1"/>
      <name val="Calibri"/>
      <family val="2"/>
      <scheme val="minor"/>
    </font>
    <font>
      <sz val="10"/>
      <name val="Calibri"/>
      <family val="2"/>
      <scheme val="minor"/>
    </font>
    <font>
      <sz val="11"/>
      <name val="Wingdings"/>
      <charset val="2"/>
    </font>
    <font>
      <b/>
      <sz val="10"/>
      <name val="Calibri"/>
      <family val="2"/>
      <scheme val="minor"/>
    </font>
    <font>
      <b/>
      <i/>
      <sz val="11"/>
      <color theme="1"/>
      <name val="Calibri"/>
      <family val="2"/>
      <scheme val="minor"/>
    </font>
    <font>
      <sz val="10"/>
      <color rgb="FF000000"/>
      <name val="Calibri"/>
      <family val="2"/>
      <scheme val="minor"/>
    </font>
    <font>
      <b/>
      <sz val="11"/>
      <name val="Arial"/>
      <family val="2"/>
    </font>
    <font>
      <b/>
      <sz val="10"/>
      <name val="Arial"/>
      <family val="2"/>
    </font>
    <font>
      <u/>
      <sz val="11"/>
      <color theme="10"/>
      <name val="Calibri"/>
      <family val="2"/>
      <scheme val="minor"/>
    </font>
    <font>
      <sz val="9"/>
      <color theme="1"/>
      <name val="Calibri"/>
      <family val="2"/>
      <scheme val="minor"/>
    </font>
    <font>
      <b/>
      <sz val="9"/>
      <color theme="1"/>
      <name val="Calibri"/>
      <family val="2"/>
      <scheme val="minor"/>
    </font>
    <font>
      <u/>
      <sz val="10"/>
      <color theme="10"/>
      <name val="Calibri"/>
      <family val="2"/>
      <scheme val="minor"/>
    </font>
    <font>
      <sz val="11"/>
      <color rgb="FFFF0000"/>
      <name val="Calibri"/>
      <family val="2"/>
      <scheme val="minor"/>
    </font>
    <font>
      <strike/>
      <sz val="11"/>
      <color theme="1"/>
      <name val="Calibri"/>
      <family val="2"/>
      <scheme val="minor"/>
    </font>
    <font>
      <b/>
      <sz val="11"/>
      <color rgb="FFFF0000"/>
      <name val="Calibri"/>
      <family val="2"/>
      <scheme val="minor"/>
    </font>
    <font>
      <b/>
      <strike/>
      <sz val="11"/>
      <color theme="1"/>
      <name val="Calibri"/>
      <family val="2"/>
      <scheme val="minor"/>
    </font>
    <font>
      <b/>
      <sz val="11"/>
      <color rgb="FF7030A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5" tint="0.59999389629810485"/>
        <bgColor indexed="64"/>
      </patternFill>
    </fill>
    <fill>
      <patternFill patternType="solid">
        <fgColor rgb="FFFFC000"/>
        <bgColor indexed="64"/>
      </patternFill>
    </fill>
  </fills>
  <borders count="4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right/>
      <top/>
      <bottom style="thin">
        <color theme="0" tint="-0.249977111117893"/>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theme="0" tint="-0.249977111117893"/>
      </bottom>
      <diagonal/>
    </border>
    <border>
      <left/>
      <right style="medium">
        <color indexed="64"/>
      </right>
      <top style="medium">
        <color indexed="64"/>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44"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34" fillId="0" borderId="0" applyNumberFormat="0" applyFill="0" applyBorder="0" applyAlignment="0" applyProtection="0"/>
  </cellStyleXfs>
  <cellXfs count="444">
    <xf numFmtId="0" fontId="0" fillId="0" borderId="0" xfId="0"/>
    <xf numFmtId="0" fontId="7"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0" fillId="4" borderId="1" xfId="0" applyFont="1" applyFill="1" applyBorder="1" applyAlignment="1">
      <alignment horizontal="left" vertical="center" wrapText="1"/>
    </xf>
    <xf numFmtId="0" fontId="11" fillId="0" borderId="1" xfId="0" applyFont="1" applyBorder="1" applyAlignment="1">
      <alignment horizontal="left" vertical="center" wrapText="1"/>
    </xf>
    <xf numFmtId="6" fontId="9"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0" quotePrefix="1" applyFont="1" applyBorder="1" applyAlignment="1">
      <alignment horizontal="left" vertical="center" wrapText="1"/>
    </xf>
    <xf numFmtId="0" fontId="9" fillId="4" borderId="1" xfId="0" applyFont="1" applyFill="1" applyBorder="1" applyAlignment="1">
      <alignment horizontal="left" vertical="center" wrapText="1"/>
    </xf>
    <xf numFmtId="6" fontId="9" fillId="5" borderId="1" xfId="0" applyNumberFormat="1" applyFont="1" applyFill="1" applyBorder="1" applyAlignment="1">
      <alignment horizontal="left" vertical="center" wrapText="1"/>
    </xf>
    <xf numFmtId="8" fontId="9" fillId="5" borderId="1" xfId="0" applyNumberFormat="1" applyFont="1" applyFill="1" applyBorder="1" applyAlignment="1">
      <alignment horizontal="left" vertical="center" wrapText="1"/>
    </xf>
    <xf numFmtId="0" fontId="10" fillId="0" borderId="1" xfId="0" applyFont="1" applyBorder="1" applyAlignment="1">
      <alignment horizontal="left" vertical="center" wrapText="1"/>
    </xf>
    <xf numFmtId="0" fontId="9" fillId="0" borderId="0" xfId="0" applyFont="1" applyProtection="1">
      <protection locked="0"/>
    </xf>
    <xf numFmtId="0" fontId="9" fillId="0" borderId="0" xfId="0" applyFont="1" applyAlignment="1">
      <alignment horizontal="center"/>
    </xf>
    <xf numFmtId="0" fontId="9" fillId="0" borderId="0" xfId="0" applyFont="1"/>
    <xf numFmtId="0" fontId="11" fillId="0" borderId="1" xfId="0" applyFont="1" applyBorder="1" applyAlignment="1" applyProtection="1">
      <alignment vertical="center" wrapText="1"/>
      <protection locked="0"/>
    </xf>
    <xf numFmtId="0" fontId="11" fillId="0" borderId="5" xfId="0" applyFont="1" applyBorder="1" applyAlignment="1" applyProtection="1">
      <alignment vertical="center" wrapText="1"/>
      <protection locked="0"/>
    </xf>
    <xf numFmtId="0" fontId="9" fillId="0" borderId="0" xfId="0" applyFont="1" applyAlignment="1" applyProtection="1">
      <alignment vertical="top"/>
      <protection locked="0"/>
    </xf>
    <xf numFmtId="0" fontId="11" fillId="0" borderId="0" xfId="0" applyFont="1" applyAlignment="1">
      <alignment vertical="center" wrapText="1"/>
    </xf>
    <xf numFmtId="0" fontId="11" fillId="0" borderId="14" xfId="0" applyFont="1" applyBorder="1"/>
    <xf numFmtId="0" fontId="31" fillId="0" borderId="0" xfId="0" applyFont="1" applyAlignment="1">
      <alignment horizontal="left" vertical="center" indent="1" readingOrder="1"/>
    </xf>
    <xf numFmtId="0" fontId="9" fillId="0" borderId="15" xfId="0" applyFont="1" applyBorder="1"/>
    <xf numFmtId="0" fontId="9" fillId="3" borderId="0" xfId="3" applyNumberFormat="1" applyFont="1" applyFill="1" applyBorder="1" applyAlignment="1" applyProtection="1">
      <alignment horizontal="left" vertical="center"/>
    </xf>
    <xf numFmtId="0" fontId="9" fillId="0" borderId="16" xfId="0" applyFont="1" applyBorder="1"/>
    <xf numFmtId="0" fontId="10" fillId="0" borderId="0" xfId="0" applyFont="1" applyProtection="1">
      <protection locked="0"/>
    </xf>
    <xf numFmtId="0" fontId="9" fillId="0" borderId="1" xfId="0" applyFont="1" applyBorder="1" applyAlignment="1" applyProtection="1">
      <alignment vertical="center" wrapText="1"/>
      <protection locked="0"/>
    </xf>
    <xf numFmtId="0" fontId="9" fillId="3" borderId="0" xfId="0" applyFont="1" applyFill="1" applyAlignment="1">
      <alignment horizontal="left" vertical="center"/>
    </xf>
    <xf numFmtId="6" fontId="9" fillId="0" borderId="0" xfId="0" applyNumberFormat="1" applyFont="1"/>
    <xf numFmtId="0" fontId="9" fillId="3" borderId="0" xfId="0" applyFont="1" applyFill="1" applyAlignment="1">
      <alignment horizontal="left" vertical="top"/>
    </xf>
    <xf numFmtId="0" fontId="9" fillId="0" borderId="17" xfId="0" applyFont="1" applyBorder="1" applyAlignment="1">
      <alignment vertical="center" wrapText="1"/>
    </xf>
    <xf numFmtId="0" fontId="9" fillId="3" borderId="18" xfId="0" applyFont="1" applyFill="1" applyBorder="1" applyAlignment="1">
      <alignment horizontal="left" vertical="center"/>
    </xf>
    <xf numFmtId="0" fontId="9" fillId="0" borderId="19" xfId="0" applyFont="1" applyBorder="1"/>
    <xf numFmtId="0" fontId="11" fillId="0" borderId="12" xfId="0" applyFont="1" applyBorder="1"/>
    <xf numFmtId="0" fontId="11" fillId="0" borderId="13" xfId="0" applyFont="1" applyBorder="1"/>
    <xf numFmtId="0" fontId="9" fillId="3" borderId="0" xfId="0" applyFont="1" applyFill="1" applyAlignment="1">
      <alignment horizontal="left"/>
    </xf>
    <xf numFmtId="0" fontId="9" fillId="0" borderId="17" xfId="0" applyFont="1" applyBorder="1"/>
    <xf numFmtId="0" fontId="9" fillId="3" borderId="18" xfId="0" applyFont="1" applyFill="1" applyBorder="1" applyAlignment="1">
      <alignment horizontal="left"/>
    </xf>
    <xf numFmtId="0" fontId="9" fillId="0" borderId="0" xfId="0" applyFont="1" applyAlignment="1" applyProtection="1">
      <alignment wrapText="1"/>
      <protection locked="0"/>
    </xf>
    <xf numFmtId="0" fontId="9" fillId="0" borderId="0" xfId="0" applyFont="1" applyAlignment="1">
      <alignment wrapText="1"/>
    </xf>
    <xf numFmtId="14" fontId="32" fillId="0" borderId="0" xfId="0" applyNumberFormat="1" applyFont="1" applyAlignment="1">
      <alignment vertical="center"/>
    </xf>
    <xf numFmtId="14" fontId="32" fillId="0" borderId="0" xfId="0" applyNumberFormat="1" applyFont="1" applyAlignment="1">
      <alignment horizontal="left" vertical="center"/>
    </xf>
    <xf numFmtId="0" fontId="32" fillId="0" borderId="0" xfId="0" applyFont="1" applyAlignment="1">
      <alignment horizontal="left" vertical="center"/>
    </xf>
    <xf numFmtId="0" fontId="33" fillId="0" borderId="30" xfId="0" applyFont="1" applyBorder="1" applyAlignment="1">
      <alignment vertical="center"/>
    </xf>
    <xf numFmtId="0" fontId="33" fillId="0" borderId="31" xfId="0" applyFont="1" applyBorder="1" applyAlignment="1">
      <alignment vertical="center"/>
    </xf>
    <xf numFmtId="0" fontId="33" fillId="0" borderId="32" xfId="0" applyFont="1" applyBorder="1" applyAlignment="1">
      <alignment vertical="center"/>
    </xf>
    <xf numFmtId="0" fontId="33" fillId="0" borderId="0" xfId="0" applyFont="1" applyAlignment="1">
      <alignment vertical="center"/>
    </xf>
    <xf numFmtId="14" fontId="33" fillId="0" borderId="32" xfId="0" applyNumberFormat="1" applyFont="1" applyBorder="1" applyAlignment="1">
      <alignment vertical="center"/>
    </xf>
    <xf numFmtId="14" fontId="33" fillId="0" borderId="0" xfId="0" applyNumberFormat="1" applyFont="1" applyAlignment="1">
      <alignment vertical="center"/>
    </xf>
    <xf numFmtId="0" fontId="35" fillId="0" borderId="0" xfId="0" applyFont="1"/>
    <xf numFmtId="0" fontId="9" fillId="0" borderId="12" xfId="0" applyFont="1" applyBorder="1" applyAlignment="1">
      <alignment horizontal="center"/>
    </xf>
    <xf numFmtId="0" fontId="9" fillId="0" borderId="13" xfId="0" applyFont="1" applyBorder="1"/>
    <xf numFmtId="0" fontId="11" fillId="0" borderId="15" xfId="0" applyFont="1" applyBorder="1" applyAlignment="1">
      <alignment horizontal="center" vertical="center" wrapText="1"/>
    </xf>
    <xf numFmtId="0" fontId="11" fillId="0" borderId="38" xfId="0" applyFont="1" applyBorder="1" applyAlignment="1">
      <alignment vertical="center" wrapText="1"/>
    </xf>
    <xf numFmtId="0" fontId="9" fillId="0" borderId="15" xfId="0" applyFont="1" applyBorder="1" applyAlignment="1">
      <alignment horizontal="center"/>
    </xf>
    <xf numFmtId="6" fontId="9" fillId="0" borderId="16" xfId="0" applyNumberFormat="1" applyFont="1" applyBorder="1"/>
    <xf numFmtId="0" fontId="9" fillId="0" borderId="17" xfId="0" applyFont="1" applyBorder="1" applyAlignment="1">
      <alignment horizontal="center"/>
    </xf>
    <xf numFmtId="0" fontId="9" fillId="0" borderId="18" xfId="0" applyFont="1" applyBorder="1" applyAlignment="1">
      <alignment horizontal="right"/>
    </xf>
    <xf numFmtId="0" fontId="11" fillId="0" borderId="25" xfId="0" applyFont="1" applyBorder="1" applyAlignment="1">
      <alignment vertical="center" wrapText="1"/>
    </xf>
    <xf numFmtId="0" fontId="36" fillId="0" borderId="0" xfId="0" applyFont="1" applyAlignment="1">
      <alignment vertical="center" wrapText="1"/>
    </xf>
    <xf numFmtId="0" fontId="37" fillId="0" borderId="0" xfId="4" applyFont="1" applyBorder="1" applyAlignment="1" applyProtection="1">
      <alignment horizontal="left" vertical="center" indent="1" readingOrder="1"/>
    </xf>
    <xf numFmtId="0" fontId="37" fillId="0" borderId="18" xfId="4" applyFont="1" applyFill="1" applyBorder="1" applyAlignment="1" applyProtection="1">
      <alignment horizontal="left" vertical="center" indent="1" readingOrder="1"/>
    </xf>
    <xf numFmtId="0" fontId="11" fillId="0" borderId="7" xfId="0" applyFont="1" applyBorder="1" applyAlignment="1">
      <alignment vertical="center" wrapText="1"/>
    </xf>
    <xf numFmtId="0" fontId="11" fillId="0" borderId="0" xfId="0" applyFont="1" applyAlignment="1">
      <alignment horizontal="left" vertical="center"/>
    </xf>
    <xf numFmtId="0" fontId="9" fillId="0" borderId="14" xfId="0" applyFont="1" applyBorder="1"/>
    <xf numFmtId="0" fontId="11" fillId="0" borderId="15" xfId="0" applyFont="1" applyBorder="1" applyAlignment="1">
      <alignment vertical="center" wrapText="1"/>
    </xf>
    <xf numFmtId="0" fontId="11" fillId="0" borderId="16" xfId="0" applyFont="1" applyBorder="1"/>
    <xf numFmtId="0" fontId="15" fillId="0" borderId="0" xfId="0" applyFont="1" applyAlignment="1" applyProtection="1">
      <alignment horizontal="left" vertical="center" wrapText="1"/>
      <protection locked="0" hidden="1"/>
    </xf>
    <xf numFmtId="0" fontId="15" fillId="0" borderId="0" xfId="0" applyFont="1" applyAlignment="1" applyProtection="1">
      <alignment vertical="center" wrapText="1"/>
      <protection locked="0" hidden="1"/>
    </xf>
    <xf numFmtId="0" fontId="15" fillId="0" borderId="0" xfId="0" applyFont="1" applyAlignment="1" applyProtection="1">
      <alignment horizontal="center" vertical="center" wrapText="1"/>
      <protection locked="0" hidden="1"/>
    </xf>
    <xf numFmtId="0" fontId="0" fillId="0" borderId="0" xfId="0" applyAlignment="1" applyProtection="1">
      <alignment vertical="center" wrapText="1"/>
      <protection locked="0" hidden="1"/>
    </xf>
    <xf numFmtId="0" fontId="16" fillId="0" borderId="0" xfId="0" applyFont="1" applyAlignment="1" applyProtection="1">
      <alignment vertical="center" wrapText="1"/>
      <protection locked="0" hidden="1"/>
    </xf>
    <xf numFmtId="0" fontId="0" fillId="0" borderId="0" xfId="0" applyAlignment="1" applyProtection="1">
      <alignment horizontal="center" vertical="center" wrapText="1"/>
      <protection locked="0" hidden="1"/>
    </xf>
    <xf numFmtId="0" fontId="3" fillId="0" borderId="0" xfId="0" applyFont="1" applyAlignment="1" applyProtection="1">
      <alignment vertical="center" wrapText="1"/>
      <protection locked="0" hidden="1"/>
    </xf>
    <xf numFmtId="0" fontId="3"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0" fillId="0" borderId="0" xfId="0" applyAlignment="1" applyProtection="1">
      <alignment horizontal="center" vertical="center" wrapText="1"/>
      <protection hidden="1"/>
    </xf>
    <xf numFmtId="0" fontId="14" fillId="0" borderId="1" xfId="0" applyFont="1" applyBorder="1" applyAlignment="1" applyProtection="1">
      <alignment horizontal="left" vertical="center" wrapText="1"/>
      <protection hidden="1"/>
    </xf>
    <xf numFmtId="0" fontId="14" fillId="0" borderId="1" xfId="0" applyFont="1" applyBorder="1" applyAlignment="1" applyProtection="1">
      <alignment vertical="center" wrapText="1"/>
      <protection hidden="1"/>
    </xf>
    <xf numFmtId="0" fontId="15" fillId="0" borderId="1" xfId="0" applyFont="1" applyBorder="1" applyAlignment="1" applyProtection="1">
      <alignment horizontal="center" vertical="center" wrapText="1"/>
      <protection hidden="1"/>
    </xf>
    <xf numFmtId="0" fontId="17" fillId="0" borderId="1" xfId="0" applyFont="1" applyBorder="1" applyAlignment="1" applyProtection="1">
      <alignment vertical="center" wrapText="1"/>
      <protection hidden="1"/>
    </xf>
    <xf numFmtId="0" fontId="14" fillId="0" borderId="1" xfId="0" applyFont="1" applyBorder="1" applyAlignment="1" applyProtection="1">
      <alignment horizontal="center" vertical="center" wrapText="1"/>
      <protection hidden="1"/>
    </xf>
    <xf numFmtId="0" fontId="15" fillId="0" borderId="1" xfId="0" applyFont="1" applyBorder="1" applyAlignment="1" applyProtection="1">
      <alignment vertical="center" wrapText="1"/>
      <protection hidden="1"/>
    </xf>
    <xf numFmtId="0" fontId="14" fillId="0" borderId="0" xfId="0" applyFont="1" applyAlignment="1" applyProtection="1">
      <alignment horizontal="center" vertical="center" wrapText="1"/>
      <protection hidden="1"/>
    </xf>
    <xf numFmtId="0" fontId="29" fillId="0" borderId="10" xfId="0" applyFont="1" applyBorder="1" applyAlignment="1" applyProtection="1">
      <alignment vertical="center"/>
      <protection hidden="1"/>
    </xf>
    <xf numFmtId="0" fontId="17" fillId="0" borderId="0" xfId="0" applyFont="1" applyAlignment="1" applyProtection="1">
      <alignment vertical="center"/>
      <protection hidden="1"/>
    </xf>
    <xf numFmtId="0" fontId="17" fillId="0" borderId="0" xfId="0" applyFont="1" applyAlignment="1" applyProtection="1">
      <alignment vertical="center" wrapText="1"/>
      <protection hidden="1"/>
    </xf>
    <xf numFmtId="0" fontId="14" fillId="0" borderId="1" xfId="0" applyFont="1" applyBorder="1" applyAlignment="1" applyProtection="1">
      <alignment horizontal="center" vertical="center" textRotation="180" wrapText="1"/>
      <protection hidden="1"/>
    </xf>
    <xf numFmtId="0" fontId="14" fillId="0" borderId="1" xfId="0" applyFont="1" applyBorder="1" applyAlignment="1" applyProtection="1">
      <alignment vertical="center" textRotation="180" wrapText="1"/>
      <protection hidden="1"/>
    </xf>
    <xf numFmtId="0" fontId="1" fillId="0" borderId="0" xfId="0" applyFont="1" applyAlignment="1" applyProtection="1">
      <alignment vertical="center" wrapText="1"/>
      <protection hidden="1"/>
    </xf>
    <xf numFmtId="0" fontId="14" fillId="5" borderId="1" xfId="0" applyFont="1" applyFill="1" applyBorder="1" applyAlignment="1" applyProtection="1">
      <alignment horizontal="center" vertical="center" textRotation="180" wrapText="1"/>
      <protection hidden="1"/>
    </xf>
    <xf numFmtId="0" fontId="11" fillId="0" borderId="1" xfId="0" applyFont="1" applyBorder="1" applyAlignment="1" applyProtection="1">
      <alignment horizontal="center" vertical="center" wrapText="1"/>
      <protection hidden="1"/>
    </xf>
    <xf numFmtId="0" fontId="14" fillId="0" borderId="0" xfId="0" applyFont="1" applyAlignment="1" applyProtection="1">
      <alignment horizontal="left" vertical="center" wrapText="1"/>
      <protection hidden="1"/>
    </xf>
    <xf numFmtId="0" fontId="1" fillId="0" borderId="0" xfId="0" applyFont="1" applyAlignment="1" applyProtection="1">
      <alignment vertical="center" wrapText="1"/>
      <protection locked="0" hidden="1"/>
    </xf>
    <xf numFmtId="0" fontId="15" fillId="0" borderId="1" xfId="0" applyFont="1" applyBorder="1" applyAlignment="1" applyProtection="1">
      <alignment horizontal="left" vertical="center" wrapText="1"/>
      <protection hidden="1"/>
    </xf>
    <xf numFmtId="0" fontId="15" fillId="0" borderId="1" xfId="0" quotePrefix="1" applyFont="1" applyBorder="1" applyAlignment="1" applyProtection="1">
      <alignment horizontal="left" vertical="center" wrapText="1"/>
      <protection hidden="1"/>
    </xf>
    <xf numFmtId="0" fontId="16" fillId="0" borderId="1" xfId="0" quotePrefix="1" applyFont="1" applyBorder="1" applyAlignment="1" applyProtection="1">
      <alignment vertical="center" wrapText="1"/>
      <protection hidden="1"/>
    </xf>
    <xf numFmtId="0" fontId="16" fillId="0" borderId="1"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0" fontId="16" fillId="0" borderId="1" xfId="0" quotePrefix="1" applyFont="1" applyBorder="1" applyAlignment="1" applyProtection="1">
      <alignment horizontal="left" vertical="center" wrapText="1"/>
      <protection hidden="1"/>
    </xf>
    <xf numFmtId="0" fontId="17" fillId="0" borderId="1" xfId="0" applyFont="1" applyBorder="1" applyAlignment="1" applyProtection="1">
      <alignment horizontal="center" vertical="center" wrapText="1"/>
      <protection hidden="1"/>
    </xf>
    <xf numFmtId="164" fontId="0" fillId="0" borderId="0" xfId="0" applyNumberFormat="1" applyAlignment="1" applyProtection="1">
      <alignment horizontal="center" vertical="center" wrapText="1"/>
      <protection hidden="1"/>
    </xf>
    <xf numFmtId="0" fontId="15" fillId="3" borderId="1" xfId="0" applyFont="1" applyFill="1" applyBorder="1" applyAlignment="1" applyProtection="1">
      <alignment horizontal="right" vertical="center" wrapText="1"/>
      <protection hidden="1"/>
    </xf>
    <xf numFmtId="164" fontId="15" fillId="3" borderId="1" xfId="0" applyNumberFormat="1" applyFont="1" applyFill="1" applyBorder="1" applyAlignment="1" applyProtection="1">
      <alignment horizontal="right" vertical="center" wrapText="1"/>
      <protection hidden="1"/>
    </xf>
    <xf numFmtId="0" fontId="27" fillId="0" borderId="1" xfId="0" applyFont="1" applyBorder="1" applyAlignment="1" applyProtection="1">
      <alignment horizontal="center" vertical="center" wrapText="1"/>
      <protection hidden="1"/>
    </xf>
    <xf numFmtId="0" fontId="16" fillId="0" borderId="1" xfId="0" applyFont="1" applyBorder="1" applyAlignment="1" applyProtection="1">
      <alignment horizontal="left" vertical="center" wrapText="1"/>
      <protection hidden="1"/>
    </xf>
    <xf numFmtId="0" fontId="16" fillId="0" borderId="1" xfId="0" quotePrefix="1" applyFont="1" applyBorder="1" applyAlignment="1" applyProtection="1">
      <alignment horizontal="center" vertical="center" wrapText="1"/>
      <protection hidden="1"/>
    </xf>
    <xf numFmtId="164" fontId="15" fillId="0" borderId="1" xfId="0" applyNumberFormat="1" applyFont="1" applyBorder="1" applyAlignment="1" applyProtection="1">
      <alignment horizontal="right" vertical="center" wrapText="1"/>
      <protection hidden="1"/>
    </xf>
    <xf numFmtId="0" fontId="5" fillId="0" borderId="0" xfId="0" applyFont="1" applyAlignment="1" applyProtection="1">
      <alignment horizontal="center" vertical="center" wrapText="1"/>
      <protection locked="0" hidden="1"/>
    </xf>
    <xf numFmtId="0" fontId="16" fillId="2" borderId="1" xfId="0" applyFont="1" applyFill="1" applyBorder="1" applyAlignment="1" applyProtection="1">
      <alignment horizontal="left" vertical="center" wrapText="1"/>
      <protection hidden="1"/>
    </xf>
    <xf numFmtId="0" fontId="16" fillId="2" borderId="1" xfId="0" applyFont="1" applyFill="1" applyBorder="1" applyAlignment="1" applyProtection="1">
      <alignment horizontal="center" vertical="center" wrapText="1"/>
      <protection hidden="1"/>
    </xf>
    <xf numFmtId="0" fontId="16" fillId="2" borderId="1" xfId="0" quotePrefix="1" applyFont="1" applyFill="1" applyBorder="1" applyAlignment="1" applyProtection="1">
      <alignment horizontal="left" vertical="center" wrapText="1"/>
      <protection hidden="1"/>
    </xf>
    <xf numFmtId="0" fontId="16" fillId="2" borderId="1" xfId="0" quotePrefix="1" applyFont="1" applyFill="1" applyBorder="1" applyAlignment="1" applyProtection="1">
      <alignment vertical="center" wrapText="1"/>
      <protection hidden="1"/>
    </xf>
    <xf numFmtId="0" fontId="12" fillId="2" borderId="1"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center" vertical="center" wrapText="1"/>
      <protection hidden="1"/>
    </xf>
    <xf numFmtId="164" fontId="15" fillId="2" borderId="1" xfId="0" applyNumberFormat="1" applyFont="1" applyFill="1" applyBorder="1" applyAlignment="1" applyProtection="1">
      <alignment horizontal="right" vertical="center" wrapText="1"/>
      <protection hidden="1"/>
    </xf>
    <xf numFmtId="0" fontId="15" fillId="2" borderId="1" xfId="0" applyFont="1" applyFill="1" applyBorder="1" applyAlignment="1" applyProtection="1">
      <alignment horizontal="left" vertical="center" wrapText="1"/>
      <protection hidden="1"/>
    </xf>
    <xf numFmtId="0" fontId="27" fillId="2" borderId="1" xfId="0" applyFont="1" applyFill="1" applyBorder="1" applyAlignment="1" applyProtection="1">
      <alignment horizontal="center" vertical="center" wrapText="1"/>
      <protection hidden="1"/>
    </xf>
    <xf numFmtId="0" fontId="0" fillId="2" borderId="0" xfId="0" applyFill="1" applyAlignment="1" applyProtection="1">
      <alignment horizontal="center" vertical="center" wrapText="1"/>
      <protection locked="0" hidden="1"/>
    </xf>
    <xf numFmtId="0" fontId="2" fillId="2" borderId="0" xfId="0" applyFont="1" applyFill="1" applyAlignment="1" applyProtection="1">
      <alignment horizontal="center" vertical="center" wrapText="1"/>
      <protection locked="0" hidden="1"/>
    </xf>
    <xf numFmtId="0" fontId="16" fillId="8" borderId="1" xfId="0" applyFont="1" applyFill="1" applyBorder="1" applyAlignment="1" applyProtection="1">
      <alignment horizontal="left" vertical="center" wrapText="1"/>
      <protection hidden="1"/>
    </xf>
    <xf numFmtId="0" fontId="16" fillId="2" borderId="2" xfId="0" applyFont="1" applyFill="1" applyBorder="1" applyAlignment="1" applyProtection="1">
      <alignment vertical="center" wrapText="1"/>
      <protection hidden="1"/>
    </xf>
    <xf numFmtId="0" fontId="12" fillId="2" borderId="2" xfId="0" applyFont="1" applyFill="1" applyBorder="1" applyAlignment="1" applyProtection="1">
      <alignment horizontal="center" vertical="center" wrapText="1"/>
      <protection hidden="1"/>
    </xf>
    <xf numFmtId="0" fontId="12" fillId="2" borderId="2" xfId="0" applyFont="1" applyFill="1" applyBorder="1" applyAlignment="1" applyProtection="1">
      <alignment vertical="center" wrapText="1"/>
      <protection hidden="1"/>
    </xf>
    <xf numFmtId="0" fontId="16" fillId="2" borderId="3" xfId="0" applyFont="1" applyFill="1" applyBorder="1" applyAlignment="1" applyProtection="1">
      <alignment vertical="center" wrapText="1"/>
      <protection hidden="1"/>
    </xf>
    <xf numFmtId="164" fontId="16" fillId="2" borderId="1" xfId="0" applyNumberFormat="1" applyFont="1" applyFill="1" applyBorder="1" applyAlignment="1" applyProtection="1">
      <alignment horizontal="right" vertical="center" wrapText="1"/>
      <protection hidden="1"/>
    </xf>
    <xf numFmtId="0" fontId="2" fillId="2" borderId="3" xfId="0" applyFont="1" applyFill="1" applyBorder="1" applyAlignment="1" applyProtection="1">
      <alignment horizontal="center" vertical="center" wrapText="1"/>
      <protection hidden="1"/>
    </xf>
    <xf numFmtId="0" fontId="2" fillId="2" borderId="3" xfId="0" applyFont="1" applyFill="1" applyBorder="1" applyAlignment="1" applyProtection="1">
      <alignment vertical="center" wrapText="1"/>
      <protection hidden="1"/>
    </xf>
    <xf numFmtId="0" fontId="16" fillId="0" borderId="1" xfId="0" applyFont="1" applyBorder="1" applyAlignment="1" applyProtection="1">
      <alignment vertical="center" wrapText="1"/>
      <protection hidden="1"/>
    </xf>
    <xf numFmtId="0" fontId="12" fillId="0" borderId="1" xfId="0" applyFont="1" applyBorder="1" applyAlignment="1" applyProtection="1">
      <alignment vertical="center" wrapText="1"/>
      <protection hidden="1"/>
    </xf>
    <xf numFmtId="0" fontId="16" fillId="0" borderId="2" xfId="0" applyFont="1" applyBorder="1" applyAlignment="1" applyProtection="1">
      <alignment vertical="center" wrapText="1"/>
      <protection hidden="1"/>
    </xf>
    <xf numFmtId="0" fontId="16" fillId="0" borderId="3" xfId="0" applyFont="1" applyBorder="1" applyAlignment="1" applyProtection="1">
      <alignment vertical="center" wrapText="1"/>
      <protection hidden="1"/>
    </xf>
    <xf numFmtId="0" fontId="12" fillId="0" borderId="2" xfId="0" applyFont="1" applyBorder="1" applyAlignment="1" applyProtection="1">
      <alignment horizontal="center" vertical="center" wrapText="1"/>
      <protection hidden="1"/>
    </xf>
    <xf numFmtId="0" fontId="12" fillId="0" borderId="2" xfId="0" applyFont="1" applyBorder="1" applyAlignment="1" applyProtection="1">
      <alignment vertical="center" wrapText="1"/>
      <protection hidden="1"/>
    </xf>
    <xf numFmtId="164" fontId="16" fillId="0" borderId="1" xfId="0" applyNumberFormat="1" applyFont="1" applyBorder="1" applyAlignment="1" applyProtection="1">
      <alignment horizontal="right" vertical="center" wrapText="1"/>
      <protection hidden="1"/>
    </xf>
    <xf numFmtId="0" fontId="2" fillId="0" borderId="4" xfId="0" applyFont="1" applyBorder="1" applyAlignment="1" applyProtection="1">
      <alignment horizontal="center" vertical="center" wrapText="1"/>
      <protection hidden="1"/>
    </xf>
    <xf numFmtId="0" fontId="2" fillId="0" borderId="4" xfId="0" applyFont="1" applyBorder="1" applyAlignment="1" applyProtection="1">
      <alignment vertical="center" wrapText="1"/>
      <protection hidden="1"/>
    </xf>
    <xf numFmtId="0" fontId="12" fillId="0" borderId="3" xfId="0" applyFont="1" applyBorder="1" applyAlignment="1" applyProtection="1">
      <alignment horizontal="center" vertical="center" wrapText="1"/>
      <protection hidden="1"/>
    </xf>
    <xf numFmtId="0" fontId="18" fillId="0" borderId="1" xfId="0" applyFont="1" applyBorder="1" applyAlignment="1" applyProtection="1">
      <alignment horizontal="left" vertical="center" wrapText="1"/>
      <protection hidden="1"/>
    </xf>
    <xf numFmtId="0" fontId="16" fillId="0" borderId="2" xfId="0" applyFont="1" applyBorder="1" applyAlignment="1" applyProtection="1">
      <alignment horizontal="left" vertical="center" wrapText="1"/>
      <protection hidden="1"/>
    </xf>
    <xf numFmtId="0" fontId="0" fillId="0" borderId="3" xfId="0" applyBorder="1" applyAlignment="1" applyProtection="1">
      <alignment vertical="center" wrapText="1"/>
      <protection hidden="1"/>
    </xf>
    <xf numFmtId="0" fontId="16" fillId="0" borderId="2" xfId="0" quotePrefix="1" applyFont="1" applyBorder="1" applyAlignment="1" applyProtection="1">
      <alignment vertical="center" wrapText="1"/>
      <protection hidden="1"/>
    </xf>
    <xf numFmtId="0" fontId="22" fillId="0" borderId="3" xfId="0" applyFont="1" applyBorder="1" applyAlignment="1" applyProtection="1">
      <alignment vertical="center" wrapText="1"/>
      <protection hidden="1"/>
    </xf>
    <xf numFmtId="49" fontId="16" fillId="0" borderId="1" xfId="0" applyNumberFormat="1" applyFont="1" applyBorder="1" applyAlignment="1" applyProtection="1">
      <alignment horizontal="center" vertical="center" wrapText="1"/>
      <protection hidden="1"/>
    </xf>
    <xf numFmtId="0" fontId="12" fillId="0" borderId="4" xfId="0" applyFont="1" applyBorder="1" applyAlignment="1" applyProtection="1">
      <alignment vertical="center" wrapText="1"/>
      <protection hidden="1"/>
    </xf>
    <xf numFmtId="0" fontId="2" fillId="0" borderId="3" xfId="0" applyFont="1" applyBorder="1" applyAlignment="1" applyProtection="1">
      <alignment vertical="center" wrapText="1"/>
      <protection hidden="1"/>
    </xf>
    <xf numFmtId="0" fontId="19" fillId="0" borderId="1" xfId="0" applyFont="1" applyBorder="1" applyAlignment="1" applyProtection="1">
      <alignment vertical="center" wrapText="1"/>
      <protection hidden="1"/>
    </xf>
    <xf numFmtId="0" fontId="4" fillId="0" borderId="0" xfId="0" applyFont="1" applyAlignment="1" applyProtection="1">
      <alignment vertical="center" wrapText="1"/>
      <protection locked="0" hidden="1"/>
    </xf>
    <xf numFmtId="0" fontId="24" fillId="0" borderId="3" xfId="0" applyFont="1" applyBorder="1" applyAlignment="1" applyProtection="1">
      <alignment vertical="center" wrapText="1"/>
      <protection hidden="1"/>
    </xf>
    <xf numFmtId="0" fontId="16" fillId="0" borderId="4" xfId="0" applyFont="1" applyBorder="1" applyAlignment="1" applyProtection="1">
      <alignment vertical="center" wrapText="1"/>
      <protection hidden="1"/>
    </xf>
    <xf numFmtId="0" fontId="16" fillId="0" borderId="2" xfId="0" applyFont="1" applyBorder="1" applyAlignment="1" applyProtection="1">
      <alignment horizontal="center" vertical="center" wrapText="1"/>
      <protection hidden="1"/>
    </xf>
    <xf numFmtId="0" fontId="22" fillId="0" borderId="4" xfId="0" applyFont="1" applyBorder="1" applyAlignment="1" applyProtection="1">
      <alignment vertical="center" wrapText="1"/>
      <protection hidden="1"/>
    </xf>
    <xf numFmtId="0" fontId="16" fillId="2" borderId="4" xfId="0" applyFont="1" applyFill="1" applyBorder="1" applyAlignment="1" applyProtection="1">
      <alignment vertical="center" wrapText="1"/>
      <protection hidden="1"/>
    </xf>
    <xf numFmtId="0" fontId="16" fillId="2" borderId="2" xfId="0" applyFont="1" applyFill="1" applyBorder="1" applyAlignment="1" applyProtection="1">
      <alignment horizontal="center" vertical="center" wrapText="1"/>
      <protection hidden="1"/>
    </xf>
    <xf numFmtId="0" fontId="15" fillId="2" borderId="1" xfId="0" applyFont="1" applyFill="1" applyBorder="1" applyAlignment="1" applyProtection="1">
      <alignment vertical="center" wrapText="1"/>
      <protection hidden="1"/>
    </xf>
    <xf numFmtId="0" fontId="0" fillId="2" borderId="0" xfId="0" applyFill="1" applyAlignment="1" applyProtection="1">
      <alignment vertical="center" wrapText="1"/>
      <protection locked="0" hidden="1"/>
    </xf>
    <xf numFmtId="0" fontId="12" fillId="5" borderId="1" xfId="0" applyFont="1" applyFill="1" applyBorder="1" applyAlignment="1" applyProtection="1">
      <alignment horizontal="center" vertical="center" wrapText="1"/>
      <protection hidden="1"/>
    </xf>
    <xf numFmtId="0" fontId="5" fillId="0" borderId="0" xfId="0" applyFont="1" applyAlignment="1" applyProtection="1">
      <alignment vertical="center" wrapText="1"/>
      <protection locked="0" hidden="1"/>
    </xf>
    <xf numFmtId="0" fontId="18" fillId="0" borderId="1" xfId="0" applyFont="1" applyBorder="1" applyAlignment="1" applyProtection="1">
      <alignment vertical="center" wrapText="1"/>
      <protection hidden="1"/>
    </xf>
    <xf numFmtId="0" fontId="16" fillId="0" borderId="3" xfId="0" applyFont="1" applyBorder="1" applyAlignment="1" applyProtection="1">
      <alignment horizontal="center" vertical="center" wrapText="1"/>
      <protection hidden="1"/>
    </xf>
    <xf numFmtId="0" fontId="15" fillId="0" borderId="1" xfId="0" quotePrefix="1" applyFont="1" applyBorder="1" applyAlignment="1" applyProtection="1">
      <alignment horizontal="center" vertical="center" wrapText="1"/>
      <protection hidden="1"/>
    </xf>
    <xf numFmtId="0" fontId="15" fillId="0" borderId="1" xfId="0" quotePrefix="1" applyFont="1" applyBorder="1" applyAlignment="1" applyProtection="1">
      <alignment vertical="center" wrapText="1"/>
      <protection hidden="1"/>
    </xf>
    <xf numFmtId="0" fontId="15" fillId="2" borderId="1" xfId="0" applyFont="1" applyFill="1" applyBorder="1" applyAlignment="1" applyProtection="1">
      <alignment horizontal="center" vertical="center" wrapText="1"/>
      <protection hidden="1"/>
    </xf>
    <xf numFmtId="0" fontId="15" fillId="2" borderId="1" xfId="0" quotePrefix="1" applyFont="1" applyFill="1" applyBorder="1" applyAlignment="1" applyProtection="1">
      <alignment vertical="center" wrapText="1"/>
      <protection hidden="1"/>
    </xf>
    <xf numFmtId="0" fontId="12" fillId="2" borderId="1" xfId="0" applyFont="1" applyFill="1" applyBorder="1" applyAlignment="1" applyProtection="1">
      <alignment vertical="center" wrapText="1"/>
      <protection hidden="1"/>
    </xf>
    <xf numFmtId="0" fontId="25" fillId="0" borderId="1" xfId="0" quotePrefix="1" applyFont="1" applyBorder="1" applyAlignment="1" applyProtection="1">
      <alignment vertical="center" wrapText="1"/>
      <protection hidden="1"/>
    </xf>
    <xf numFmtId="0" fontId="15" fillId="0" borderId="4" xfId="0" applyFont="1" applyBorder="1" applyAlignment="1" applyProtection="1">
      <alignment horizontal="center" vertical="center" wrapText="1"/>
      <protection hidden="1"/>
    </xf>
    <xf numFmtId="0" fontId="15" fillId="0" borderId="4" xfId="0" applyFont="1" applyBorder="1" applyAlignment="1" applyProtection="1">
      <alignment vertical="center" wrapText="1"/>
      <protection hidden="1"/>
    </xf>
    <xf numFmtId="0" fontId="0" fillId="0" borderId="4" xfId="0" applyBorder="1" applyAlignment="1" applyProtection="1">
      <alignment vertical="center" wrapText="1"/>
      <protection hidden="1"/>
    </xf>
    <xf numFmtId="0" fontId="12" fillId="0" borderId="4" xfId="0" applyFont="1" applyBorder="1" applyAlignment="1" applyProtection="1">
      <alignment horizontal="center" vertical="center" wrapText="1"/>
      <protection hidden="1"/>
    </xf>
    <xf numFmtId="0" fontId="12" fillId="5" borderId="2" xfId="0" applyFont="1" applyFill="1" applyBorder="1" applyAlignment="1" applyProtection="1">
      <alignment horizontal="center" vertical="center" wrapText="1"/>
      <protection hidden="1"/>
    </xf>
    <xf numFmtId="0" fontId="15" fillId="0" borderId="2" xfId="0" applyFont="1" applyBorder="1" applyAlignment="1" applyProtection="1">
      <alignment vertical="center" wrapText="1"/>
      <protection hidden="1"/>
    </xf>
    <xf numFmtId="0" fontId="15" fillId="0" borderId="2" xfId="0" applyFont="1" applyBorder="1" applyAlignment="1" applyProtection="1">
      <alignment horizontal="center" vertical="center" wrapText="1"/>
      <protection hidden="1"/>
    </xf>
    <xf numFmtId="0" fontId="16" fillId="0" borderId="4" xfId="0" applyFont="1" applyBorder="1" applyAlignment="1" applyProtection="1">
      <alignment horizontal="center" vertical="center" wrapText="1"/>
      <protection hidden="1"/>
    </xf>
    <xf numFmtId="0" fontId="22" fillId="0" borderId="4" xfId="0" applyFont="1" applyBorder="1" applyAlignment="1" applyProtection="1">
      <alignment horizontal="center" vertical="center" wrapText="1"/>
      <protection hidden="1"/>
    </xf>
    <xf numFmtId="0" fontId="15" fillId="0" borderId="3" xfId="0" applyFont="1" applyBorder="1" applyAlignment="1" applyProtection="1">
      <alignment vertical="center" wrapText="1"/>
      <protection hidden="1"/>
    </xf>
    <xf numFmtId="0" fontId="22" fillId="0" borderId="3" xfId="0" applyFont="1" applyBorder="1" applyAlignment="1" applyProtection="1">
      <alignment horizontal="center" vertical="center" wrapText="1"/>
      <protection hidden="1"/>
    </xf>
    <xf numFmtId="0" fontId="15" fillId="0" borderId="3" xfId="0" applyFont="1" applyBorder="1" applyAlignment="1" applyProtection="1">
      <alignment horizontal="center" vertical="center" wrapText="1"/>
      <protection hidden="1"/>
    </xf>
    <xf numFmtId="0" fontId="12" fillId="0" borderId="3" xfId="0" applyFont="1" applyBorder="1" applyAlignment="1" applyProtection="1">
      <alignment vertical="center" wrapText="1"/>
      <protection hidden="1"/>
    </xf>
    <xf numFmtId="0" fontId="2" fillId="0" borderId="0" xfId="0" applyFont="1" applyAlignment="1" applyProtection="1">
      <alignment vertical="center" wrapText="1"/>
      <protection locked="0" hidden="1"/>
    </xf>
    <xf numFmtId="0" fontId="20" fillId="0" borderId="1" xfId="0" applyFont="1" applyBorder="1" applyAlignment="1" applyProtection="1">
      <alignment vertical="center" wrapText="1"/>
      <protection hidden="1"/>
    </xf>
    <xf numFmtId="0" fontId="6" fillId="0" borderId="0" xfId="0" applyFont="1" applyAlignment="1" applyProtection="1">
      <alignment vertical="center" wrapText="1"/>
      <protection locked="0" hidden="1"/>
    </xf>
    <xf numFmtId="0" fontId="16" fillId="2" borderId="1" xfId="0" applyFont="1" applyFill="1" applyBorder="1" applyAlignment="1" applyProtection="1">
      <alignment vertical="center" wrapText="1"/>
      <protection hidden="1"/>
    </xf>
    <xf numFmtId="0" fontId="2" fillId="2" borderId="0" xfId="0" applyFont="1" applyFill="1" applyAlignment="1" applyProtection="1">
      <alignment vertical="center" wrapText="1"/>
      <protection locked="0" hidden="1"/>
    </xf>
    <xf numFmtId="0" fontId="13" fillId="0" borderId="1" xfId="0" applyFont="1" applyBorder="1" applyAlignment="1" applyProtection="1">
      <alignment vertical="center" wrapText="1"/>
      <protection hidden="1"/>
    </xf>
    <xf numFmtId="0" fontId="13" fillId="0" borderId="2" xfId="0" applyFont="1" applyBorder="1" applyAlignment="1" applyProtection="1">
      <alignment vertical="center" wrapText="1"/>
      <protection hidden="1"/>
    </xf>
    <xf numFmtId="0" fontId="17" fillId="0" borderId="2" xfId="0" applyFont="1" applyBorder="1" applyAlignment="1" applyProtection="1">
      <alignment vertical="center" wrapText="1"/>
      <protection hidden="1"/>
    </xf>
    <xf numFmtId="0" fontId="15" fillId="0" borderId="0" xfId="0" applyFont="1" applyAlignment="1" applyProtection="1">
      <alignment horizontal="left" vertical="center" wrapText="1"/>
      <protection hidden="1"/>
    </xf>
    <xf numFmtId="0" fontId="15" fillId="0" borderId="0" xfId="0" applyFont="1" applyAlignment="1" applyProtection="1">
      <alignment vertical="center" wrapText="1"/>
      <protection hidden="1"/>
    </xf>
    <xf numFmtId="0" fontId="15" fillId="0" borderId="0" xfId="0" applyFont="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15" fillId="6" borderId="0" xfId="0" applyFont="1" applyFill="1" applyAlignment="1" applyProtection="1">
      <alignment vertical="center" wrapText="1"/>
      <protection hidden="1"/>
    </xf>
    <xf numFmtId="0" fontId="16" fillId="6" borderId="1" xfId="0" applyFont="1" applyFill="1" applyBorder="1" applyAlignment="1" applyProtection="1">
      <alignment horizontal="center" vertical="center" wrapText="1"/>
      <protection hidden="1"/>
    </xf>
    <xf numFmtId="0" fontId="15" fillId="6" borderId="0" xfId="0" applyFont="1" applyFill="1" applyAlignment="1" applyProtection="1">
      <alignment horizontal="center" vertical="center" wrapText="1"/>
      <protection hidden="1"/>
    </xf>
    <xf numFmtId="0" fontId="0" fillId="6" borderId="0" xfId="0" applyFill="1" applyAlignment="1" applyProtection="1">
      <alignment vertical="center" wrapText="1"/>
      <protection hidden="1"/>
    </xf>
    <xf numFmtId="0" fontId="16" fillId="6" borderId="1" xfId="0" quotePrefix="1" applyFont="1" applyFill="1" applyBorder="1" applyAlignment="1" applyProtection="1">
      <alignment vertical="center" wrapText="1"/>
      <protection hidden="1"/>
    </xf>
    <xf numFmtId="0" fontId="0" fillId="6" borderId="0" xfId="0" applyFill="1" applyAlignment="1" applyProtection="1">
      <alignment horizontal="center" vertical="center" wrapText="1"/>
      <protection hidden="1"/>
    </xf>
    <xf numFmtId="0" fontId="3" fillId="6" borderId="0" xfId="0" applyFont="1" applyFill="1" applyAlignment="1" applyProtection="1">
      <alignment vertical="center" wrapText="1"/>
      <protection hidden="1"/>
    </xf>
    <xf numFmtId="0" fontId="17" fillId="6" borderId="1" xfId="0" applyFont="1" applyFill="1" applyBorder="1" applyAlignment="1" applyProtection="1">
      <alignment horizontal="center" vertical="center" wrapText="1"/>
      <protection hidden="1"/>
    </xf>
    <xf numFmtId="164" fontId="15" fillId="6" borderId="1" xfId="0" applyNumberFormat="1" applyFont="1" applyFill="1" applyBorder="1" applyAlignment="1" applyProtection="1">
      <alignment horizontal="right" vertical="center" wrapText="1"/>
      <protection hidden="1"/>
    </xf>
    <xf numFmtId="0" fontId="15" fillId="6" borderId="1" xfId="0" applyFont="1" applyFill="1" applyBorder="1" applyAlignment="1" applyProtection="1">
      <alignment horizontal="right" vertical="center" wrapText="1"/>
      <protection hidden="1"/>
    </xf>
    <xf numFmtId="0" fontId="15" fillId="6" borderId="1" xfId="0" applyFont="1" applyFill="1" applyBorder="1" applyAlignment="1" applyProtection="1">
      <alignment vertical="center" wrapText="1"/>
      <protection hidden="1"/>
    </xf>
    <xf numFmtId="0" fontId="28" fillId="6" borderId="0" xfId="0" applyFont="1" applyFill="1" applyAlignment="1" applyProtection="1">
      <alignment horizontal="center" vertical="center" wrapText="1"/>
      <protection hidden="1"/>
    </xf>
    <xf numFmtId="0" fontId="0" fillId="6" borderId="0" xfId="0" applyFill="1" applyAlignment="1" applyProtection="1">
      <alignment vertical="center" wrapText="1"/>
      <protection locked="0" hidden="1"/>
    </xf>
    <xf numFmtId="164" fontId="0" fillId="0" borderId="0" xfId="0" applyNumberFormat="1" applyAlignment="1" applyProtection="1">
      <alignment vertical="center" wrapText="1"/>
      <protection hidden="1"/>
    </xf>
    <xf numFmtId="6" fontId="9" fillId="0" borderId="0" xfId="0" applyNumberFormat="1" applyFont="1" applyProtection="1">
      <protection hidden="1"/>
    </xf>
    <xf numFmtId="0" fontId="0" fillId="0" borderId="0" xfId="0" applyProtection="1">
      <protection hidden="1"/>
    </xf>
    <xf numFmtId="0" fontId="0" fillId="0" borderId="12" xfId="0" applyBorder="1" applyProtection="1">
      <protection hidden="1"/>
    </xf>
    <xf numFmtId="0" fontId="0" fillId="0" borderId="14" xfId="0" applyBorder="1" applyProtection="1">
      <protection hidden="1"/>
    </xf>
    <xf numFmtId="0" fontId="22" fillId="0" borderId="22" xfId="0" applyFont="1" applyBorder="1" applyProtection="1">
      <protection hidden="1"/>
    </xf>
    <xf numFmtId="0" fontId="2" fillId="0" borderId="23" xfId="0" applyFont="1" applyBorder="1" applyProtection="1">
      <protection hidden="1"/>
    </xf>
    <xf numFmtId="0" fontId="2" fillId="0" borderId="24" xfId="0" applyFont="1" applyBorder="1" applyProtection="1">
      <protection hidden="1"/>
    </xf>
    <xf numFmtId="0" fontId="2" fillId="0" borderId="23" xfId="0" applyFont="1" applyBorder="1" applyAlignment="1" applyProtection="1">
      <alignment horizontal="center"/>
      <protection hidden="1"/>
    </xf>
    <xf numFmtId="0" fontId="2" fillId="0" borderId="24" xfId="0" applyFont="1" applyBorder="1" applyAlignment="1" applyProtection="1">
      <alignment horizontal="center"/>
      <protection hidden="1"/>
    </xf>
    <xf numFmtId="0" fontId="1" fillId="0" borderId="22" xfId="0" applyFont="1" applyBorder="1" applyProtection="1">
      <protection hidden="1"/>
    </xf>
    <xf numFmtId="0" fontId="0" fillId="0" borderId="23" xfId="0" applyBorder="1" applyProtection="1">
      <protection hidden="1"/>
    </xf>
    <xf numFmtId="0" fontId="0" fillId="0" borderId="24" xfId="0" applyBorder="1" applyProtection="1">
      <protection hidden="1"/>
    </xf>
    <xf numFmtId="0" fontId="0" fillId="0" borderId="11" xfId="0" applyBorder="1" applyProtection="1">
      <protection hidden="1"/>
    </xf>
    <xf numFmtId="0" fontId="1" fillId="0" borderId="15" xfId="0" applyFont="1" applyBorder="1" applyAlignment="1" applyProtection="1">
      <alignment wrapText="1"/>
      <protection hidden="1"/>
    </xf>
    <xf numFmtId="0" fontId="1" fillId="0" borderId="16" xfId="0" applyFont="1" applyBorder="1" applyAlignment="1" applyProtection="1">
      <alignment wrapText="1"/>
      <protection hidden="1"/>
    </xf>
    <xf numFmtId="0" fontId="1" fillId="0" borderId="12" xfId="0" applyFont="1" applyBorder="1" applyAlignment="1" applyProtection="1">
      <alignment wrapText="1"/>
      <protection hidden="1"/>
    </xf>
    <xf numFmtId="0" fontId="1" fillId="0" borderId="13" xfId="0" applyFont="1" applyBorder="1" applyAlignment="1" applyProtection="1">
      <alignment wrapText="1"/>
      <protection hidden="1"/>
    </xf>
    <xf numFmtId="0" fontId="22" fillId="0" borderId="0" xfId="0" applyFont="1" applyAlignment="1" applyProtection="1">
      <alignment wrapText="1"/>
      <protection hidden="1"/>
    </xf>
    <xf numFmtId="0" fontId="1" fillId="0" borderId="0" xfId="0" applyFont="1" applyAlignment="1" applyProtection="1">
      <alignment wrapText="1"/>
      <protection hidden="1"/>
    </xf>
    <xf numFmtId="0" fontId="22" fillId="0" borderId="16" xfId="0" applyFont="1" applyBorder="1" applyAlignment="1" applyProtection="1">
      <alignment wrapText="1"/>
      <protection hidden="1"/>
    </xf>
    <xf numFmtId="0" fontId="1" fillId="2" borderId="0" xfId="0" applyFont="1" applyFill="1" applyAlignment="1" applyProtection="1">
      <alignment wrapText="1"/>
      <protection hidden="1"/>
    </xf>
    <xf numFmtId="0" fontId="1" fillId="2" borderId="16" xfId="0" applyFont="1" applyFill="1" applyBorder="1" applyAlignment="1" applyProtection="1">
      <alignment wrapText="1"/>
      <protection hidden="1"/>
    </xf>
    <xf numFmtId="0" fontId="1" fillId="9" borderId="20" xfId="0" applyFont="1" applyFill="1" applyBorder="1" applyAlignment="1" applyProtection="1">
      <alignment wrapText="1"/>
      <protection hidden="1"/>
    </xf>
    <xf numFmtId="0" fontId="22" fillId="0" borderId="15" xfId="0" applyFont="1" applyBorder="1" applyAlignment="1" applyProtection="1">
      <alignment vertical="center" wrapText="1"/>
      <protection hidden="1"/>
    </xf>
    <xf numFmtId="0" fontId="0" fillId="0" borderId="0" xfId="0" applyAlignment="1" applyProtection="1">
      <alignment wrapText="1"/>
      <protection hidden="1"/>
    </xf>
    <xf numFmtId="44" fontId="1" fillId="0" borderId="0" xfId="0" applyNumberFormat="1" applyFont="1" applyAlignment="1" applyProtection="1">
      <alignment wrapText="1"/>
      <protection hidden="1"/>
    </xf>
    <xf numFmtId="44" fontId="22" fillId="0" borderId="0" xfId="0" applyNumberFormat="1" applyFont="1" applyAlignment="1" applyProtection="1">
      <alignment wrapText="1"/>
      <protection hidden="1"/>
    </xf>
    <xf numFmtId="44" fontId="22" fillId="0" borderId="16" xfId="0" applyNumberFormat="1" applyFont="1" applyBorder="1" applyAlignment="1" applyProtection="1">
      <alignment wrapText="1"/>
      <protection hidden="1"/>
    </xf>
    <xf numFmtId="44" fontId="1" fillId="2" borderId="0" xfId="0" applyNumberFormat="1" applyFont="1" applyFill="1" applyAlignment="1" applyProtection="1">
      <alignment wrapText="1"/>
      <protection hidden="1"/>
    </xf>
    <xf numFmtId="44" fontId="1" fillId="2" borderId="16" xfId="0" applyNumberFormat="1" applyFont="1" applyFill="1" applyBorder="1" applyAlignment="1" applyProtection="1">
      <alignment wrapText="1"/>
      <protection hidden="1"/>
    </xf>
    <xf numFmtId="44" fontId="0" fillId="0" borderId="0" xfId="0" applyNumberFormat="1" applyAlignment="1" applyProtection="1">
      <alignment wrapText="1"/>
      <protection hidden="1"/>
    </xf>
    <xf numFmtId="0" fontId="0" fillId="9" borderId="20" xfId="0" applyFill="1" applyBorder="1" applyAlignment="1" applyProtection="1">
      <alignment wrapText="1"/>
      <protection hidden="1"/>
    </xf>
    <xf numFmtId="0" fontId="1" fillId="0" borderId="0" xfId="0" applyFont="1" applyAlignment="1" applyProtection="1">
      <alignment horizontal="left" vertical="center"/>
      <protection hidden="1"/>
    </xf>
    <xf numFmtId="0" fontId="0" fillId="0" borderId="15" xfId="0" applyBorder="1" applyProtection="1">
      <protection hidden="1"/>
    </xf>
    <xf numFmtId="0" fontId="0" fillId="0" borderId="16" xfId="0" applyBorder="1" applyAlignment="1" applyProtection="1">
      <alignment horizontal="left"/>
      <protection hidden="1"/>
    </xf>
    <xf numFmtId="44" fontId="0" fillId="0" borderId="15" xfId="0" applyNumberFormat="1" applyBorder="1" applyProtection="1">
      <protection hidden="1"/>
    </xf>
    <xf numFmtId="44" fontId="0" fillId="0" borderId="0" xfId="0" applyNumberFormat="1" applyProtection="1">
      <protection hidden="1"/>
    </xf>
    <xf numFmtId="44" fontId="2" fillId="0" borderId="0" xfId="0" applyNumberFormat="1" applyFont="1" applyProtection="1">
      <protection hidden="1"/>
    </xf>
    <xf numFmtId="44" fontId="2" fillId="0" borderId="16" xfId="0" applyNumberFormat="1" applyFont="1" applyBorder="1" applyProtection="1">
      <protection hidden="1"/>
    </xf>
    <xf numFmtId="44" fontId="0" fillId="2" borderId="0" xfId="0" applyNumberFormat="1" applyFill="1" applyProtection="1">
      <protection hidden="1"/>
    </xf>
    <xf numFmtId="44" fontId="0" fillId="2" borderId="16" xfId="0" applyNumberFormat="1" applyFill="1" applyBorder="1" applyProtection="1">
      <protection hidden="1"/>
    </xf>
    <xf numFmtId="164" fontId="0" fillId="9" borderId="20" xfId="0" applyNumberFormat="1" applyFill="1" applyBorder="1" applyProtection="1">
      <protection hidden="1"/>
    </xf>
    <xf numFmtId="0" fontId="0" fillId="0" borderId="15" xfId="0" applyBorder="1" applyAlignment="1" applyProtection="1">
      <alignment vertical="center" wrapText="1"/>
      <protection hidden="1"/>
    </xf>
    <xf numFmtId="0" fontId="0" fillId="0" borderId="16" xfId="0" applyBorder="1" applyAlignment="1" applyProtection="1">
      <alignment horizontal="left" vertical="center" wrapText="1"/>
      <protection hidden="1"/>
    </xf>
    <xf numFmtId="44" fontId="2" fillId="2" borderId="0" xfId="0" applyNumberFormat="1" applyFont="1" applyFill="1" applyProtection="1">
      <protection hidden="1"/>
    </xf>
    <xf numFmtId="44" fontId="2" fillId="2" borderId="16" xfId="0" applyNumberFormat="1" applyFont="1" applyFill="1" applyBorder="1" applyProtection="1">
      <protection hidden="1"/>
    </xf>
    <xf numFmtId="0" fontId="0" fillId="0" borderId="17" xfId="0" applyBorder="1" applyAlignment="1" applyProtection="1">
      <alignment vertical="center" wrapText="1"/>
      <protection hidden="1"/>
    </xf>
    <xf numFmtId="0" fontId="0" fillId="0" borderId="19" xfId="0" applyBorder="1" applyAlignment="1" applyProtection="1">
      <alignment horizontal="left" vertical="center" wrapText="1"/>
      <protection hidden="1"/>
    </xf>
    <xf numFmtId="44" fontId="0" fillId="0" borderId="17" xfId="0" applyNumberFormat="1" applyBorder="1" applyProtection="1">
      <protection hidden="1"/>
    </xf>
    <xf numFmtId="44" fontId="0" fillId="0" borderId="18" xfId="0" applyNumberFormat="1" applyBorder="1" applyProtection="1">
      <protection hidden="1"/>
    </xf>
    <xf numFmtId="44" fontId="2" fillId="0" borderId="18" xfId="0" applyNumberFormat="1" applyFont="1" applyBorder="1" applyProtection="1">
      <protection hidden="1"/>
    </xf>
    <xf numFmtId="44" fontId="2" fillId="0" borderId="19" xfId="0" applyNumberFormat="1" applyFont="1" applyBorder="1" applyProtection="1">
      <protection hidden="1"/>
    </xf>
    <xf numFmtId="44" fontId="2" fillId="2" borderId="18" xfId="0" applyNumberFormat="1" applyFont="1" applyFill="1" applyBorder="1" applyProtection="1">
      <protection hidden="1"/>
    </xf>
    <xf numFmtId="44" fontId="2" fillId="2" borderId="19" xfId="0" applyNumberFormat="1" applyFont="1" applyFill="1" applyBorder="1" applyProtection="1">
      <protection hidden="1"/>
    </xf>
    <xf numFmtId="44" fontId="0" fillId="0" borderId="18" xfId="0" applyNumberFormat="1" applyBorder="1" applyAlignment="1" applyProtection="1">
      <alignment wrapText="1"/>
      <protection hidden="1"/>
    </xf>
    <xf numFmtId="44" fontId="0" fillId="2" borderId="18" xfId="0" applyNumberFormat="1" applyFill="1" applyBorder="1" applyProtection="1">
      <protection hidden="1"/>
    </xf>
    <xf numFmtId="164" fontId="0" fillId="9" borderId="21" xfId="0" applyNumberFormat="1" applyFill="1" applyBorder="1" applyProtection="1">
      <protection hidden="1"/>
    </xf>
    <xf numFmtId="164" fontId="0" fillId="0" borderId="0" xfId="0" applyNumberFormat="1" applyProtection="1">
      <protection hidden="1"/>
    </xf>
    <xf numFmtId="0" fontId="0" fillId="0" borderId="0" xfId="0" applyAlignment="1" applyProtection="1">
      <alignment horizontal="left"/>
      <protection hidden="1"/>
    </xf>
    <xf numFmtId="0" fontId="0" fillId="0" borderId="0" xfId="0" applyAlignment="1" applyProtection="1">
      <alignment horizontal="left" vertical="center" wrapText="1"/>
      <protection hidden="1"/>
    </xf>
    <xf numFmtId="0" fontId="0" fillId="0" borderId="18" xfId="0" applyBorder="1" applyAlignment="1" applyProtection="1">
      <alignment horizontal="left" vertical="center"/>
      <protection hidden="1"/>
    </xf>
    <xf numFmtId="0" fontId="0" fillId="0" borderId="17" xfId="0" applyBorder="1" applyProtection="1">
      <protection hidden="1"/>
    </xf>
    <xf numFmtId="0" fontId="0" fillId="0" borderId="18" xfId="0" applyBorder="1" applyProtection="1">
      <protection hidden="1"/>
    </xf>
    <xf numFmtId="0" fontId="0" fillId="0" borderId="0" xfId="0" applyAlignment="1" applyProtection="1">
      <alignment horizontal="left" vertical="center"/>
      <protection hidden="1"/>
    </xf>
    <xf numFmtId="165" fontId="2" fillId="0" borderId="22" xfId="2" applyNumberFormat="1" applyFont="1" applyBorder="1" applyAlignment="1" applyProtection="1">
      <alignment horizontal="right" vertical="center"/>
      <protection hidden="1"/>
    </xf>
    <xf numFmtId="165" fontId="2" fillId="0" borderId="23" xfId="2" applyNumberFormat="1" applyFont="1" applyBorder="1" applyAlignment="1" applyProtection="1">
      <alignment horizontal="right" vertical="center"/>
      <protection hidden="1"/>
    </xf>
    <xf numFmtId="44" fontId="0" fillId="0" borderId="0" xfId="1" applyFont="1" applyProtection="1">
      <protection hidden="1"/>
    </xf>
    <xf numFmtId="0" fontId="1" fillId="0" borderId="12" xfId="0" applyFont="1" applyBorder="1" applyAlignment="1" applyProtection="1">
      <alignment vertical="center" wrapText="1"/>
      <protection hidden="1"/>
    </xf>
    <xf numFmtId="43" fontId="0" fillId="0" borderId="12" xfId="0" applyNumberFormat="1" applyBorder="1" applyProtection="1">
      <protection hidden="1"/>
    </xf>
    <xf numFmtId="0" fontId="0" fillId="0" borderId="13" xfId="0" applyBorder="1" applyProtection="1">
      <protection hidden="1"/>
    </xf>
    <xf numFmtId="0" fontId="1" fillId="0" borderId="15" xfId="0" applyFont="1" applyBorder="1" applyAlignment="1" applyProtection="1">
      <alignment vertical="center" wrapText="1"/>
      <protection hidden="1"/>
    </xf>
    <xf numFmtId="0" fontId="1" fillId="0" borderId="15" xfId="0" applyFont="1" applyBorder="1" applyAlignment="1" applyProtection="1">
      <alignment vertical="center"/>
      <protection hidden="1"/>
    </xf>
    <xf numFmtId="44" fontId="2" fillId="0" borderId="15" xfId="1" applyFont="1" applyBorder="1" applyAlignment="1" applyProtection="1">
      <alignment horizontal="right" vertical="center"/>
      <protection hidden="1"/>
    </xf>
    <xf numFmtId="44" fontId="2" fillId="0" borderId="0" xfId="1" applyFont="1" applyBorder="1" applyAlignment="1" applyProtection="1">
      <alignment horizontal="right" vertical="center"/>
      <protection hidden="1"/>
    </xf>
    <xf numFmtId="0" fontId="1" fillId="0" borderId="15" xfId="0" applyFont="1" applyBorder="1" applyProtection="1">
      <protection hidden="1"/>
    </xf>
    <xf numFmtId="0" fontId="0" fillId="0" borderId="0" xfId="3" applyNumberFormat="1" applyFont="1" applyFill="1" applyBorder="1" applyAlignment="1" applyProtection="1">
      <alignment horizontal="left" vertical="center"/>
      <protection hidden="1"/>
    </xf>
    <xf numFmtId="9" fontId="0" fillId="0" borderId="0" xfId="0" applyNumberFormat="1" applyAlignment="1" applyProtection="1">
      <alignment horizontal="left"/>
      <protection hidden="1"/>
    </xf>
    <xf numFmtId="0" fontId="1" fillId="0" borderId="17" xfId="0" applyFont="1" applyBorder="1" applyAlignment="1" applyProtection="1">
      <alignment vertical="center" wrapText="1"/>
      <protection hidden="1"/>
    </xf>
    <xf numFmtId="0" fontId="0" fillId="0" borderId="18" xfId="3" applyNumberFormat="1" applyFont="1" applyFill="1" applyBorder="1" applyAlignment="1" applyProtection="1">
      <alignment horizontal="left" vertical="center"/>
      <protection hidden="1"/>
    </xf>
    <xf numFmtId="44" fontId="2" fillId="0" borderId="17" xfId="1" applyFont="1" applyBorder="1" applyAlignment="1" applyProtection="1">
      <alignment horizontal="right" vertical="center"/>
      <protection hidden="1"/>
    </xf>
    <xf numFmtId="44" fontId="2" fillId="0" borderId="18" xfId="1" applyFont="1" applyBorder="1" applyAlignment="1" applyProtection="1">
      <alignment horizontal="right" vertical="center"/>
      <protection hidden="1"/>
    </xf>
    <xf numFmtId="0" fontId="1" fillId="0" borderId="22" xfId="0" applyFont="1" applyBorder="1" applyAlignment="1" applyProtection="1">
      <alignment vertical="center" wrapText="1"/>
      <protection hidden="1"/>
    </xf>
    <xf numFmtId="44" fontId="2" fillId="7" borderId="22" xfId="1" applyFont="1" applyFill="1" applyBorder="1" applyAlignment="1" applyProtection="1">
      <alignment horizontal="right" vertical="center"/>
      <protection hidden="1"/>
    </xf>
    <xf numFmtId="44" fontId="2" fillId="7" borderId="23" xfId="1" applyFont="1" applyFill="1" applyBorder="1" applyAlignment="1" applyProtection="1">
      <alignment horizontal="right" vertical="center"/>
      <protection hidden="1"/>
    </xf>
    <xf numFmtId="8" fontId="2" fillId="0" borderId="0" xfId="1" applyNumberFormat="1" applyFont="1" applyBorder="1" applyAlignment="1" applyProtection="1">
      <alignment horizontal="right" vertical="center"/>
      <protection hidden="1"/>
    </xf>
    <xf numFmtId="0" fontId="1" fillId="0" borderId="13" xfId="0" applyFont="1" applyBorder="1" applyAlignment="1" applyProtection="1">
      <alignment horizontal="left" vertical="center"/>
      <protection hidden="1"/>
    </xf>
    <xf numFmtId="44" fontId="2" fillId="0" borderId="14" xfId="1" applyFont="1" applyBorder="1" applyAlignment="1" applyProtection="1">
      <alignment horizontal="right" vertical="center"/>
      <protection hidden="1"/>
    </xf>
    <xf numFmtId="0" fontId="1" fillId="7" borderId="17" xfId="0" applyFont="1" applyFill="1" applyBorder="1" applyAlignment="1" applyProtection="1">
      <alignment vertical="center" wrapText="1"/>
      <protection hidden="1"/>
    </xf>
    <xf numFmtId="0" fontId="1" fillId="0" borderId="12" xfId="0" applyFont="1" applyBorder="1" applyProtection="1">
      <protection hidden="1"/>
    </xf>
    <xf numFmtId="0" fontId="1" fillId="0" borderId="17" xfId="0" applyFont="1" applyBorder="1" applyProtection="1">
      <protection hidden="1"/>
    </xf>
    <xf numFmtId="0" fontId="15" fillId="6" borderId="0" xfId="0" applyFont="1" applyFill="1" applyAlignment="1" applyProtection="1">
      <alignment horizontal="left" vertical="center" wrapText="1"/>
      <protection hidden="1"/>
    </xf>
    <xf numFmtId="0" fontId="11" fillId="0" borderId="36" xfId="0" applyFont="1" applyBorder="1" applyAlignment="1">
      <alignment horizontal="left"/>
    </xf>
    <xf numFmtId="0" fontId="11" fillId="0" borderId="37" xfId="0" applyFont="1" applyBorder="1" applyAlignment="1">
      <alignment horizontal="left"/>
    </xf>
    <xf numFmtId="0" fontId="33" fillId="0" borderId="33" xfId="0" applyFont="1" applyBorder="1" applyAlignment="1">
      <alignment horizontal="left" vertical="center"/>
    </xf>
    <xf numFmtId="0" fontId="33" fillId="0" borderId="34" xfId="0" applyFont="1" applyBorder="1" applyAlignment="1">
      <alignment horizontal="left" vertical="center"/>
    </xf>
    <xf numFmtId="0" fontId="33" fillId="0" borderId="35" xfId="0" applyFont="1" applyBorder="1" applyAlignment="1">
      <alignment horizontal="left" vertical="center"/>
    </xf>
    <xf numFmtId="14" fontId="33" fillId="0" borderId="33" xfId="0" applyNumberFormat="1" applyFont="1" applyBorder="1" applyAlignment="1">
      <alignment horizontal="left" vertical="center"/>
    </xf>
    <xf numFmtId="0" fontId="16" fillId="0" borderId="2" xfId="0" applyFont="1" applyBorder="1" applyAlignment="1" applyProtection="1">
      <alignment vertical="center" wrapText="1"/>
      <protection hidden="1"/>
    </xf>
    <xf numFmtId="0" fontId="16" fillId="0" borderId="4" xfId="0" applyFont="1" applyBorder="1" applyAlignment="1" applyProtection="1">
      <alignment vertical="center" wrapText="1"/>
      <protection hidden="1"/>
    </xf>
    <xf numFmtId="0" fontId="2" fillId="0" borderId="3" xfId="0" applyFont="1" applyBorder="1" applyAlignment="1" applyProtection="1">
      <alignment vertical="center" wrapText="1"/>
      <protection hidden="1"/>
    </xf>
    <xf numFmtId="0" fontId="12" fillId="0" borderId="2" xfId="0" applyFont="1" applyBorder="1" applyAlignment="1" applyProtection="1">
      <alignment vertical="center" wrapText="1"/>
      <protection hidden="1"/>
    </xf>
    <xf numFmtId="0" fontId="12" fillId="0" borderId="3" xfId="0" applyFont="1" applyBorder="1" applyAlignment="1" applyProtection="1">
      <alignment vertical="center" wrapText="1"/>
      <protection hidden="1"/>
    </xf>
    <xf numFmtId="0" fontId="16" fillId="0" borderId="2" xfId="0" applyFont="1" applyBorder="1" applyAlignment="1" applyProtection="1">
      <alignment horizontal="center" vertical="center" wrapText="1"/>
      <protection hidden="1"/>
    </xf>
    <xf numFmtId="0" fontId="16" fillId="0" borderId="3" xfId="0" applyFont="1" applyBorder="1" applyAlignment="1" applyProtection="1">
      <alignment horizontal="center" vertical="center" wrapText="1"/>
      <protection hidden="1"/>
    </xf>
    <xf numFmtId="0" fontId="16" fillId="0" borderId="1" xfId="0" applyFont="1" applyBorder="1" applyAlignment="1" applyProtection="1">
      <alignment horizontal="center" vertical="center" wrapText="1"/>
      <protection hidden="1"/>
    </xf>
    <xf numFmtId="49" fontId="16" fillId="0" borderId="1" xfId="0" applyNumberFormat="1" applyFont="1" applyBorder="1" applyAlignment="1" applyProtection="1">
      <alignment horizontal="center" vertical="center" wrapText="1"/>
      <protection hidden="1"/>
    </xf>
    <xf numFmtId="0" fontId="15" fillId="0" borderId="4" xfId="0" applyFont="1" applyBorder="1" applyAlignment="1" applyProtection="1">
      <alignment horizontal="center" vertical="center" wrapText="1"/>
      <protection hidden="1"/>
    </xf>
    <xf numFmtId="0" fontId="15" fillId="0" borderId="3" xfId="0" applyFont="1" applyBorder="1" applyAlignment="1" applyProtection="1">
      <alignment horizontal="center" vertical="center" wrapText="1"/>
      <protection hidden="1"/>
    </xf>
    <xf numFmtId="0" fontId="16" fillId="0" borderId="4" xfId="0" applyFont="1" applyBorder="1" applyAlignment="1" applyProtection="1">
      <alignment horizontal="center" vertical="center" wrapText="1"/>
      <protection hidden="1"/>
    </xf>
    <xf numFmtId="0" fontId="16" fillId="0" borderId="2" xfId="0" quotePrefix="1" applyFont="1" applyBorder="1" applyAlignment="1" applyProtection="1">
      <alignment vertical="center" wrapText="1"/>
      <protection hidden="1"/>
    </xf>
    <xf numFmtId="0" fontId="16" fillId="0" borderId="4" xfId="0" quotePrefix="1" applyFont="1" applyBorder="1" applyAlignment="1" applyProtection="1">
      <alignment vertical="center" wrapText="1"/>
      <protection hidden="1"/>
    </xf>
    <xf numFmtId="0" fontId="15" fillId="0" borderId="3" xfId="0" applyFont="1" applyBorder="1" applyAlignment="1" applyProtection="1">
      <alignment vertical="center" wrapText="1"/>
      <protection hidden="1"/>
    </xf>
    <xf numFmtId="0" fontId="0" fillId="0" borderId="3" xfId="0" applyBorder="1" applyAlignment="1" applyProtection="1">
      <alignment vertical="center" wrapText="1"/>
      <protection hidden="1"/>
    </xf>
    <xf numFmtId="0" fontId="16" fillId="0" borderId="1" xfId="0" applyFont="1" applyBorder="1" applyAlignment="1" applyProtection="1">
      <alignment vertical="center" wrapText="1"/>
      <protection hidden="1"/>
    </xf>
    <xf numFmtId="0" fontId="16" fillId="0" borderId="3" xfId="0" quotePrefix="1" applyFont="1" applyBorder="1" applyAlignment="1" applyProtection="1">
      <alignment vertical="center" wrapText="1"/>
      <protection hidden="1"/>
    </xf>
    <xf numFmtId="0" fontId="12" fillId="0" borderId="2" xfId="0" applyFont="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hidden="1"/>
    </xf>
    <xf numFmtId="0" fontId="24" fillId="0" borderId="3" xfId="0" applyFont="1" applyBorder="1" applyAlignment="1" applyProtection="1">
      <alignment horizontal="center" vertical="center" wrapText="1"/>
      <protection hidden="1"/>
    </xf>
    <xf numFmtId="0" fontId="16" fillId="2" borderId="2" xfId="0" applyFont="1" applyFill="1" applyBorder="1" applyAlignment="1" applyProtection="1">
      <alignment horizontal="center" vertical="center" wrapText="1"/>
      <protection hidden="1"/>
    </xf>
    <xf numFmtId="0" fontId="16" fillId="2" borderId="4" xfId="0" applyFont="1" applyFill="1" applyBorder="1" applyAlignment="1" applyProtection="1">
      <alignment horizontal="center" vertical="center" wrapText="1"/>
      <protection hidden="1"/>
    </xf>
    <xf numFmtId="0" fontId="16" fillId="2" borderId="3"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6" fillId="0" borderId="1" xfId="0" quotePrefix="1" applyFont="1" applyBorder="1" applyAlignment="1" applyProtection="1">
      <alignment vertical="center" wrapText="1"/>
      <protection hidden="1"/>
    </xf>
    <xf numFmtId="0" fontId="12" fillId="0" borderId="4" xfId="0" applyFont="1" applyBorder="1" applyAlignment="1" applyProtection="1">
      <alignment vertical="center" wrapText="1"/>
      <protection hidden="1"/>
    </xf>
    <xf numFmtId="0" fontId="16" fillId="0" borderId="2" xfId="0" quotePrefix="1" applyFont="1" applyBorder="1" applyAlignment="1" applyProtection="1">
      <alignment horizontal="left" vertical="center" wrapText="1"/>
      <protection hidden="1"/>
    </xf>
    <xf numFmtId="0" fontId="16" fillId="0" borderId="3" xfId="0" quotePrefix="1" applyFont="1" applyBorder="1" applyAlignment="1" applyProtection="1">
      <alignment horizontal="left" vertical="center" wrapText="1"/>
      <protection hidden="1"/>
    </xf>
    <xf numFmtId="0" fontId="22" fillId="0" borderId="2" xfId="0" applyFont="1" applyBorder="1" applyAlignment="1" applyProtection="1">
      <alignment vertical="center" wrapText="1"/>
      <protection hidden="1"/>
    </xf>
    <xf numFmtId="0" fontId="22" fillId="0" borderId="4" xfId="0" applyFont="1" applyBorder="1" applyAlignment="1" applyProtection="1">
      <alignment vertical="center" wrapText="1"/>
      <protection hidden="1"/>
    </xf>
    <xf numFmtId="0" fontId="22" fillId="0" borderId="3" xfId="0" applyFont="1" applyBorder="1" applyAlignment="1" applyProtection="1">
      <alignment vertical="center" wrapText="1"/>
      <protection hidden="1"/>
    </xf>
    <xf numFmtId="0" fontId="15" fillId="0" borderId="4" xfId="0" applyFont="1" applyBorder="1" applyAlignment="1" applyProtection="1">
      <alignment vertical="center" wrapText="1"/>
      <protection hidden="1"/>
    </xf>
    <xf numFmtId="0" fontId="0" fillId="0" borderId="4" xfId="0" applyBorder="1" applyAlignment="1" applyProtection="1">
      <alignment vertical="center" wrapText="1"/>
      <protection hidden="1"/>
    </xf>
    <xf numFmtId="0" fontId="16" fillId="0" borderId="4" xfId="0" quotePrefix="1" applyFont="1" applyBorder="1" applyAlignment="1" applyProtection="1">
      <alignment horizontal="left" vertical="center" wrapText="1"/>
      <protection hidden="1"/>
    </xf>
    <xf numFmtId="0" fontId="12" fillId="2" borderId="2" xfId="0" applyFont="1" applyFill="1" applyBorder="1" applyAlignment="1" applyProtection="1">
      <alignment horizontal="center" vertical="center" wrapText="1"/>
      <protection hidden="1"/>
    </xf>
    <xf numFmtId="0" fontId="12" fillId="2" borderId="3" xfId="0" applyFont="1" applyFill="1" applyBorder="1" applyAlignment="1" applyProtection="1">
      <alignment horizontal="center" vertical="center" wrapText="1"/>
      <protection hidden="1"/>
    </xf>
    <xf numFmtId="0" fontId="12" fillId="0" borderId="27" xfId="0" applyFont="1" applyBorder="1" applyAlignment="1" applyProtection="1">
      <alignment horizontal="center" vertical="center" wrapText="1"/>
      <protection hidden="1"/>
    </xf>
    <xf numFmtId="0" fontId="12" fillId="0" borderId="29" xfId="0" applyFont="1" applyBorder="1" applyAlignment="1" applyProtection="1">
      <alignment horizontal="center" vertical="center" wrapText="1"/>
      <protection hidden="1"/>
    </xf>
    <xf numFmtId="0" fontId="14" fillId="0" borderId="7" xfId="0" applyFont="1" applyBorder="1" applyAlignment="1" applyProtection="1">
      <alignment horizontal="center" vertical="center" wrapText="1"/>
      <protection hidden="1"/>
    </xf>
    <xf numFmtId="0" fontId="14" fillId="0" borderId="6" xfId="0" applyFont="1" applyBorder="1" applyAlignment="1" applyProtection="1">
      <alignment horizontal="center" vertical="center" wrapText="1"/>
      <protection hidden="1"/>
    </xf>
    <xf numFmtId="0" fontId="14" fillId="0" borderId="8" xfId="0" applyFont="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4" fillId="0" borderId="9" xfId="0" applyFont="1" applyBorder="1" applyAlignment="1" applyProtection="1">
      <alignment horizontal="center" vertical="center" wrapText="1"/>
      <protection hidden="1"/>
    </xf>
    <xf numFmtId="0" fontId="2" fillId="0" borderId="3" xfId="0" applyFont="1" applyBorder="1" applyAlignment="1" applyProtection="1">
      <alignment horizontal="left" vertical="center" wrapText="1"/>
      <protection hidden="1"/>
    </xf>
    <xf numFmtId="0" fontId="12" fillId="0" borderId="26" xfId="0" applyFont="1" applyBorder="1" applyAlignment="1" applyProtection="1">
      <alignment horizontal="center" vertical="center" wrapText="1"/>
      <protection hidden="1"/>
    </xf>
    <xf numFmtId="0" fontId="12" fillId="0" borderId="28" xfId="0" applyFont="1" applyBorder="1" applyAlignment="1" applyProtection="1">
      <alignment horizontal="center" vertical="center" wrapText="1"/>
      <protection hidden="1"/>
    </xf>
    <xf numFmtId="0" fontId="17" fillId="0" borderId="2"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15" fillId="0" borderId="4" xfId="0" applyFont="1" applyBorder="1" applyAlignment="1" applyProtection="1">
      <alignment horizontal="left" vertical="center" wrapText="1"/>
      <protection hidden="1"/>
    </xf>
    <xf numFmtId="0" fontId="15" fillId="0" borderId="3" xfId="0" applyFont="1" applyBorder="1" applyAlignment="1" applyProtection="1">
      <alignment horizontal="left" vertical="center" wrapText="1"/>
      <protection hidden="1"/>
    </xf>
    <xf numFmtId="0" fontId="13" fillId="0" borderId="2" xfId="0" applyFont="1" applyBorder="1" applyAlignment="1" applyProtection="1">
      <alignment vertical="center" wrapText="1"/>
      <protection hidden="1"/>
    </xf>
    <xf numFmtId="0" fontId="13" fillId="0" borderId="4" xfId="0" applyFont="1" applyBorder="1" applyAlignment="1" applyProtection="1">
      <alignment vertical="center" wrapText="1"/>
      <protection hidden="1"/>
    </xf>
    <xf numFmtId="0" fontId="16" fillId="0" borderId="3" xfId="0" applyFont="1" applyBorder="1" applyAlignment="1" applyProtection="1">
      <alignment vertical="center" wrapText="1"/>
      <protection hidden="1"/>
    </xf>
    <xf numFmtId="0" fontId="2" fillId="0" borderId="4" xfId="0" applyFont="1" applyBorder="1" applyAlignment="1" applyProtection="1">
      <alignment vertical="center" wrapText="1"/>
      <protection hidden="1"/>
    </xf>
    <xf numFmtId="0" fontId="16" fillId="2" borderId="2" xfId="0" applyFont="1" applyFill="1" applyBorder="1" applyAlignment="1" applyProtection="1">
      <alignment horizontal="left" vertical="center" wrapText="1"/>
      <protection hidden="1"/>
    </xf>
    <xf numFmtId="0" fontId="2" fillId="2" borderId="3" xfId="0" applyFont="1" applyFill="1" applyBorder="1" applyAlignment="1" applyProtection="1">
      <alignment horizontal="left" vertical="center" wrapText="1"/>
      <protection hidden="1"/>
    </xf>
    <xf numFmtId="0" fontId="16" fillId="2" borderId="2" xfId="0" quotePrefix="1" applyFont="1" applyFill="1" applyBorder="1" applyAlignment="1" applyProtection="1">
      <alignment horizontal="left" vertical="center" wrapText="1"/>
      <protection hidden="1"/>
    </xf>
    <xf numFmtId="0" fontId="16" fillId="0" borderId="1" xfId="0" quotePrefix="1" applyFont="1" applyBorder="1" applyAlignment="1" applyProtection="1">
      <alignment horizontal="left" vertical="center" wrapText="1"/>
      <protection hidden="1"/>
    </xf>
    <xf numFmtId="0" fontId="14" fillId="0" borderId="1" xfId="0" applyFont="1" applyBorder="1" applyAlignment="1" applyProtection="1">
      <alignment horizontal="center" vertical="center" wrapText="1"/>
      <protection hidden="1"/>
    </xf>
    <xf numFmtId="0" fontId="15" fillId="0" borderId="1" xfId="0" applyFont="1" applyBorder="1" applyAlignment="1" applyProtection="1">
      <alignment horizontal="center" vertical="center" wrapText="1"/>
      <protection hidden="1"/>
    </xf>
    <xf numFmtId="0" fontId="16" fillId="0" borderId="1" xfId="0" applyFont="1" applyBorder="1" applyAlignment="1" applyProtection="1">
      <alignment horizontal="left" vertical="center" wrapText="1"/>
      <protection hidden="1"/>
    </xf>
    <xf numFmtId="0" fontId="16" fillId="2" borderId="2" xfId="0" quotePrefix="1" applyFont="1" applyFill="1" applyBorder="1" applyAlignment="1" applyProtection="1">
      <alignment horizontal="center" vertical="center" wrapText="1"/>
      <protection hidden="1"/>
    </xf>
    <xf numFmtId="0" fontId="16" fillId="0" borderId="4" xfId="0" applyFont="1" applyBorder="1" applyAlignment="1" applyProtection="1">
      <alignment horizontal="left" vertical="center" wrapText="1"/>
      <protection hidden="1"/>
    </xf>
    <xf numFmtId="0" fontId="0" fillId="0" borderId="3" xfId="0" applyBorder="1" applyAlignment="1" applyProtection="1">
      <alignment horizontal="left" vertical="center" wrapText="1"/>
      <protection hidden="1"/>
    </xf>
    <xf numFmtId="0" fontId="13" fillId="0" borderId="2" xfId="0" applyFont="1" applyBorder="1" applyAlignment="1" applyProtection="1">
      <alignment horizontal="center" vertical="center" wrapText="1"/>
      <protection hidden="1"/>
    </xf>
    <xf numFmtId="0" fontId="13" fillId="0" borderId="3" xfId="0" applyFont="1" applyBorder="1" applyAlignment="1" applyProtection="1">
      <alignment horizontal="center" vertical="center" wrapText="1"/>
      <protection hidden="1"/>
    </xf>
    <xf numFmtId="0" fontId="16" fillId="0" borderId="2" xfId="0" quotePrefix="1"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9" fillId="0" borderId="10" xfId="0" applyFont="1" applyBorder="1" applyAlignment="1" applyProtection="1">
      <alignment horizontal="center" vertical="center" wrapText="1"/>
      <protection hidden="1"/>
    </xf>
    <xf numFmtId="44" fontId="39" fillId="0" borderId="0" xfId="0" applyNumberFormat="1" applyFont="1" applyProtection="1">
      <protection hidden="1"/>
    </xf>
    <xf numFmtId="0" fontId="1" fillId="0" borderId="39" xfId="0" applyFont="1" applyBorder="1" applyAlignment="1" applyProtection="1">
      <alignment wrapText="1"/>
      <protection hidden="1"/>
    </xf>
    <xf numFmtId="0" fontId="0" fillId="8" borderId="15" xfId="0" applyFill="1" applyBorder="1" applyAlignment="1" applyProtection="1">
      <alignment horizontal="left" wrapText="1"/>
      <protection hidden="1"/>
    </xf>
    <xf numFmtId="0" fontId="0" fillId="8" borderId="0" xfId="0" applyFill="1" applyAlignment="1" applyProtection="1">
      <alignment horizontal="left" wrapText="1"/>
      <protection hidden="1"/>
    </xf>
    <xf numFmtId="0" fontId="40" fillId="0" borderId="15" xfId="0" applyFont="1" applyBorder="1" applyAlignment="1" applyProtection="1">
      <alignment wrapText="1"/>
      <protection hidden="1"/>
    </xf>
    <xf numFmtId="0" fontId="40" fillId="0" borderId="0" xfId="0" applyFont="1" applyAlignment="1" applyProtection="1">
      <alignment wrapText="1"/>
      <protection hidden="1"/>
    </xf>
    <xf numFmtId="0" fontId="40" fillId="0" borderId="40" xfId="0" applyFont="1" applyBorder="1" applyAlignment="1" applyProtection="1">
      <alignment wrapText="1"/>
      <protection hidden="1"/>
    </xf>
    <xf numFmtId="0" fontId="38" fillId="0" borderId="0" xfId="0" applyFont="1" applyProtection="1">
      <protection hidden="1"/>
    </xf>
    <xf numFmtId="0" fontId="0" fillId="0" borderId="40" xfId="0" applyBorder="1" applyProtection="1">
      <protection hidden="1"/>
    </xf>
    <xf numFmtId="0" fontId="0" fillId="0" borderId="41" xfId="0" applyBorder="1" applyProtection="1">
      <protection hidden="1"/>
    </xf>
    <xf numFmtId="165" fontId="2" fillId="0" borderId="42" xfId="2" applyNumberFormat="1" applyFont="1" applyBorder="1" applyAlignment="1" applyProtection="1">
      <alignment horizontal="right" vertical="center"/>
      <protection hidden="1"/>
    </xf>
    <xf numFmtId="43" fontId="0" fillId="0" borderId="39" xfId="0" applyNumberFormat="1" applyBorder="1" applyProtection="1">
      <protection hidden="1"/>
    </xf>
    <xf numFmtId="0" fontId="0" fillId="0" borderId="39" xfId="0" applyBorder="1" applyProtection="1">
      <protection hidden="1"/>
    </xf>
    <xf numFmtId="44" fontId="2" fillId="0" borderId="40" xfId="1" applyFont="1" applyBorder="1" applyAlignment="1" applyProtection="1">
      <alignment horizontal="right" vertical="center"/>
      <protection hidden="1"/>
    </xf>
    <xf numFmtId="0" fontId="1" fillId="9" borderId="22" xfId="0" applyFont="1" applyFill="1" applyBorder="1" applyAlignment="1" applyProtection="1">
      <alignment vertical="center" wrapText="1"/>
      <protection hidden="1"/>
    </xf>
    <xf numFmtId="0" fontId="0" fillId="9" borderId="23" xfId="3" applyNumberFormat="1" applyFont="1" applyFill="1" applyBorder="1" applyAlignment="1" applyProtection="1">
      <alignment horizontal="left" vertical="center"/>
      <protection hidden="1"/>
    </xf>
    <xf numFmtId="44" fontId="2" fillId="9" borderId="22" xfId="1" applyFont="1" applyFill="1" applyBorder="1" applyAlignment="1" applyProtection="1">
      <alignment horizontal="right" vertical="center"/>
      <protection hidden="1"/>
    </xf>
    <xf numFmtId="44" fontId="2" fillId="9" borderId="42" xfId="1" applyFont="1" applyFill="1" applyBorder="1" applyAlignment="1" applyProtection="1">
      <alignment horizontal="right" vertical="center"/>
      <protection hidden="1"/>
    </xf>
    <xf numFmtId="44" fontId="2" fillId="9" borderId="23" xfId="1" applyFont="1" applyFill="1" applyBorder="1" applyAlignment="1" applyProtection="1">
      <alignment horizontal="right" vertical="center"/>
      <protection hidden="1"/>
    </xf>
    <xf numFmtId="44" fontId="2" fillId="0" borderId="41" xfId="1" applyFont="1" applyBorder="1" applyAlignment="1" applyProtection="1">
      <alignment horizontal="right" vertical="center"/>
      <protection hidden="1"/>
    </xf>
    <xf numFmtId="0" fontId="1" fillId="11" borderId="22" xfId="0" applyFont="1" applyFill="1" applyBorder="1" applyAlignment="1" applyProtection="1">
      <alignment vertical="center" wrapText="1"/>
      <protection hidden="1"/>
    </xf>
    <xf numFmtId="0" fontId="0" fillId="11" borderId="23" xfId="3" applyNumberFormat="1" applyFont="1" applyFill="1" applyBorder="1" applyAlignment="1" applyProtection="1">
      <alignment horizontal="left" vertical="center"/>
      <protection hidden="1"/>
    </xf>
    <xf numFmtId="44" fontId="2" fillId="11" borderId="22" xfId="1" applyFont="1" applyFill="1" applyBorder="1" applyAlignment="1" applyProtection="1">
      <alignment horizontal="right" vertical="center"/>
      <protection hidden="1"/>
    </xf>
    <xf numFmtId="44" fontId="2" fillId="11" borderId="42" xfId="1" applyFont="1" applyFill="1" applyBorder="1" applyAlignment="1" applyProtection="1">
      <alignment horizontal="right" vertical="center"/>
      <protection hidden="1"/>
    </xf>
    <xf numFmtId="44" fontId="2" fillId="11" borderId="23" xfId="1" applyFont="1" applyFill="1" applyBorder="1" applyAlignment="1" applyProtection="1">
      <alignment horizontal="right" vertical="center"/>
      <protection hidden="1"/>
    </xf>
    <xf numFmtId="44" fontId="0" fillId="0" borderId="40" xfId="0" applyNumberFormat="1" applyBorder="1" applyProtection="1">
      <protection hidden="1"/>
    </xf>
    <xf numFmtId="0" fontId="41" fillId="0" borderId="15" xfId="0" applyFont="1" applyBorder="1" applyProtection="1">
      <protection hidden="1"/>
    </xf>
    <xf numFmtId="0" fontId="39" fillId="0" borderId="0" xfId="0" applyFont="1" applyAlignment="1" applyProtection="1">
      <alignment horizontal="left" vertical="center"/>
      <protection hidden="1"/>
    </xf>
    <xf numFmtId="44" fontId="39" fillId="0" borderId="15" xfId="0" applyNumberFormat="1" applyFont="1" applyBorder="1" applyProtection="1">
      <protection hidden="1"/>
    </xf>
    <xf numFmtId="44" fontId="39" fillId="0" borderId="40" xfId="0" applyNumberFormat="1" applyFont="1" applyBorder="1" applyProtection="1">
      <protection hidden="1"/>
    </xf>
    <xf numFmtId="44" fontId="0" fillId="0" borderId="41" xfId="0" applyNumberFormat="1" applyBorder="1" applyProtection="1">
      <protection hidden="1"/>
    </xf>
    <xf numFmtId="0" fontId="1" fillId="12" borderId="17" xfId="0" applyFont="1" applyFill="1" applyBorder="1" applyProtection="1">
      <protection hidden="1"/>
    </xf>
    <xf numFmtId="0" fontId="0" fillId="12" borderId="18" xfId="0" applyFill="1" applyBorder="1" applyAlignment="1" applyProtection="1">
      <alignment horizontal="left" vertical="center"/>
      <protection hidden="1"/>
    </xf>
    <xf numFmtId="44" fontId="0" fillId="12" borderId="17" xfId="0" applyNumberFormat="1" applyFill="1" applyBorder="1" applyProtection="1">
      <protection hidden="1"/>
    </xf>
    <xf numFmtId="44" fontId="0" fillId="12" borderId="41" xfId="0" applyNumberFormat="1" applyFill="1" applyBorder="1" applyProtection="1">
      <protection hidden="1"/>
    </xf>
    <xf numFmtId="44" fontId="0" fillId="12" borderId="18" xfId="0" applyNumberFormat="1" applyFill="1" applyBorder="1" applyProtection="1">
      <protection hidden="1"/>
    </xf>
    <xf numFmtId="0" fontId="0" fillId="0" borderId="23" xfId="0" applyBorder="1" applyAlignment="1" applyProtection="1">
      <alignment horizontal="left" vertical="center"/>
      <protection hidden="1"/>
    </xf>
    <xf numFmtId="44" fontId="2" fillId="7" borderId="42" xfId="1" applyFont="1" applyFill="1" applyBorder="1" applyAlignment="1" applyProtection="1">
      <alignment horizontal="right" vertical="center"/>
      <protection hidden="1"/>
    </xf>
    <xf numFmtId="0" fontId="42" fillId="5" borderId="22" xfId="0" applyFont="1" applyFill="1" applyBorder="1" applyAlignment="1" applyProtection="1">
      <alignment vertical="center" wrapText="1"/>
      <protection hidden="1"/>
    </xf>
    <xf numFmtId="0" fontId="5" fillId="5" borderId="23" xfId="0" applyFont="1" applyFill="1" applyBorder="1" applyAlignment="1" applyProtection="1">
      <alignment horizontal="left" vertical="center"/>
      <protection hidden="1"/>
    </xf>
    <xf numFmtId="44" fontId="5" fillId="5" borderId="22" xfId="1" applyFont="1" applyFill="1" applyBorder="1" applyAlignment="1" applyProtection="1">
      <alignment horizontal="right" vertical="center"/>
      <protection hidden="1"/>
    </xf>
    <xf numFmtId="44" fontId="5" fillId="5" borderId="24" xfId="1" applyFont="1" applyFill="1" applyBorder="1" applyAlignment="1" applyProtection="1">
      <alignment horizontal="right" vertical="center"/>
      <protection hidden="1"/>
    </xf>
    <xf numFmtId="0" fontId="22" fillId="0" borderId="12" xfId="0" applyFont="1" applyBorder="1" applyAlignment="1" applyProtection="1">
      <alignment vertical="center" wrapText="1"/>
      <protection hidden="1"/>
    </xf>
    <xf numFmtId="44" fontId="2" fillId="0" borderId="12" xfId="1" applyFont="1" applyBorder="1" applyAlignment="1" applyProtection="1">
      <alignment horizontal="right" vertical="center"/>
      <protection hidden="1"/>
    </xf>
    <xf numFmtId="44" fontId="2" fillId="9" borderId="15" xfId="1" applyFont="1" applyFill="1" applyBorder="1" applyAlignment="1" applyProtection="1">
      <alignment horizontal="right" vertical="center"/>
      <protection hidden="1"/>
    </xf>
    <xf numFmtId="44" fontId="2" fillId="9" borderId="20" xfId="1" applyFont="1" applyFill="1" applyBorder="1" applyAlignment="1" applyProtection="1">
      <alignment horizontal="right" vertical="center"/>
      <protection hidden="1"/>
    </xf>
    <xf numFmtId="44" fontId="2" fillId="11" borderId="15" xfId="1" applyFont="1" applyFill="1" applyBorder="1" applyAlignment="1" applyProtection="1">
      <alignment horizontal="right" vertical="center"/>
      <protection hidden="1"/>
    </xf>
    <xf numFmtId="44" fontId="2" fillId="11" borderId="20" xfId="1" applyFont="1" applyFill="1" applyBorder="1" applyAlignment="1" applyProtection="1">
      <alignment horizontal="right" vertical="center"/>
      <protection hidden="1"/>
    </xf>
    <xf numFmtId="44" fontId="2" fillId="12" borderId="15" xfId="1" applyFont="1" applyFill="1" applyBorder="1" applyAlignment="1" applyProtection="1">
      <alignment horizontal="right" vertical="center"/>
      <protection hidden="1"/>
    </xf>
    <xf numFmtId="44" fontId="2" fillId="12" borderId="20" xfId="1" applyFont="1" applyFill="1" applyBorder="1" applyAlignment="1" applyProtection="1">
      <alignment horizontal="right" vertical="center"/>
      <protection hidden="1"/>
    </xf>
    <xf numFmtId="0" fontId="0" fillId="10" borderId="15" xfId="0" applyFill="1" applyBorder="1" applyAlignment="1" applyProtection="1">
      <alignment vertical="center" wrapText="1"/>
      <protection hidden="1"/>
    </xf>
    <xf numFmtId="0" fontId="0" fillId="10" borderId="0" xfId="0" applyFill="1" applyAlignment="1" applyProtection="1">
      <alignment horizontal="center" vertical="center"/>
      <protection hidden="1"/>
    </xf>
    <xf numFmtId="44" fontId="2" fillId="10" borderId="15" xfId="1" applyFont="1" applyFill="1" applyBorder="1" applyAlignment="1" applyProtection="1">
      <alignment horizontal="right" vertical="center"/>
      <protection hidden="1"/>
    </xf>
    <xf numFmtId="44" fontId="2" fillId="10" borderId="20" xfId="1" applyFont="1" applyFill="1" applyBorder="1" applyAlignment="1" applyProtection="1">
      <alignment horizontal="right" vertical="center"/>
      <protection hidden="1"/>
    </xf>
    <xf numFmtId="0" fontId="1" fillId="7" borderId="18" xfId="0" applyFont="1" applyFill="1" applyBorder="1" applyAlignment="1" applyProtection="1">
      <alignment horizontal="center"/>
      <protection hidden="1"/>
    </xf>
    <xf numFmtId="9" fontId="22" fillId="7" borderId="17" xfId="3" applyFont="1" applyFill="1" applyBorder="1" applyAlignment="1" applyProtection="1">
      <alignment horizontal="left" vertical="center"/>
      <protection hidden="1"/>
    </xf>
    <xf numFmtId="9" fontId="22" fillId="7" borderId="21" xfId="3" applyFont="1" applyFill="1" applyBorder="1" applyAlignment="1" applyProtection="1">
      <alignment horizontal="left" vertical="center"/>
      <protection hidden="1"/>
    </xf>
    <xf numFmtId="0" fontId="1" fillId="0" borderId="0" xfId="0" applyFont="1" applyAlignment="1" applyProtection="1">
      <alignment vertical="center"/>
      <protection hidden="1"/>
    </xf>
    <xf numFmtId="0" fontId="1" fillId="0" borderId="0" xfId="0" applyFont="1" applyAlignment="1" applyProtection="1">
      <alignment horizontal="center"/>
      <protection hidden="1"/>
    </xf>
    <xf numFmtId="9" fontId="22" fillId="0" borderId="0" xfId="3" applyFont="1" applyFill="1" applyBorder="1" applyAlignment="1" applyProtection="1">
      <alignment horizontal="left" vertical="center"/>
      <protection hidden="1"/>
    </xf>
    <xf numFmtId="44" fontId="2" fillId="0" borderId="39" xfId="1" applyFont="1" applyBorder="1" applyAlignment="1" applyProtection="1">
      <alignment horizontal="right" vertical="center"/>
      <protection hidden="1"/>
    </xf>
    <xf numFmtId="44" fontId="1" fillId="0" borderId="17" xfId="0" applyNumberFormat="1" applyFont="1" applyBorder="1" applyProtection="1">
      <protection hidden="1"/>
    </xf>
    <xf numFmtId="44" fontId="1" fillId="0" borderId="41" xfId="0" applyNumberFormat="1" applyFont="1" applyBorder="1" applyProtection="1">
      <protection hidden="1"/>
    </xf>
    <xf numFmtId="164" fontId="1" fillId="0" borderId="14" xfId="0" applyNumberFormat="1" applyFont="1" applyBorder="1" applyProtection="1">
      <protection hidden="1"/>
    </xf>
    <xf numFmtId="0" fontId="0" fillId="9" borderId="15" xfId="0" applyFill="1" applyBorder="1" applyProtection="1">
      <protection hidden="1"/>
    </xf>
    <xf numFmtId="1" fontId="0" fillId="9" borderId="16" xfId="3" applyNumberFormat="1" applyFont="1" applyFill="1" applyBorder="1" applyAlignment="1" applyProtection="1">
      <alignment horizontal="left"/>
      <protection hidden="1"/>
    </xf>
    <xf numFmtId="164" fontId="38" fillId="0" borderId="0" xfId="0" applyNumberFormat="1" applyFont="1" applyProtection="1">
      <protection hidden="1"/>
    </xf>
    <xf numFmtId="0" fontId="0" fillId="11" borderId="15" xfId="0" applyFill="1" applyBorder="1" applyProtection="1">
      <protection hidden="1"/>
    </xf>
    <xf numFmtId="1" fontId="0" fillId="11" borderId="16" xfId="3" applyNumberFormat="1" applyFont="1" applyFill="1" applyBorder="1" applyAlignment="1" applyProtection="1">
      <alignment horizontal="left"/>
      <protection hidden="1"/>
    </xf>
    <xf numFmtId="0" fontId="0" fillId="12" borderId="17" xfId="0" applyFill="1" applyBorder="1" applyProtection="1">
      <protection hidden="1"/>
    </xf>
    <xf numFmtId="1" fontId="0" fillId="12" borderId="19" xfId="3" applyNumberFormat="1" applyFont="1" applyFill="1" applyBorder="1" applyAlignment="1" applyProtection="1">
      <alignment horizontal="left"/>
      <protection hidden="1"/>
    </xf>
  </cellXfs>
  <cellStyles count="5">
    <cellStyle name="Comma" xfId="2" builtinId="3"/>
    <cellStyle name="Currency" xfId="1" builtinId="4"/>
    <cellStyle name="Hyperlink" xfId="4" builtinId="8"/>
    <cellStyle name="Normal" xfId="0" builtinId="0"/>
    <cellStyle name="Percent" xfId="3" builtinId="5"/>
  </cellStyles>
  <dxfs count="1">
    <dxf>
      <font>
        <color theme="0"/>
      </font>
      <fill>
        <patternFill>
          <bgColor rgb="FFFF0000"/>
        </patternFill>
      </fill>
    </dxf>
  </dxfs>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4867275</xdr:colOff>
      <xdr:row>0</xdr:row>
      <xdr:rowOff>66675</xdr:rowOff>
    </xdr:from>
    <xdr:to>
      <xdr:col>11</xdr:col>
      <xdr:colOff>6707981</xdr:colOff>
      <xdr:row>5</xdr:row>
      <xdr:rowOff>118586</xdr:rowOff>
    </xdr:to>
    <xdr:pic>
      <xdr:nvPicPr>
        <xdr:cNvPr id="2" name="Picture 2">
          <a:extLst>
            <a:ext uri="{FF2B5EF4-FFF2-40B4-BE49-F238E27FC236}">
              <a16:creationId xmlns:a16="http://schemas.microsoft.com/office/drawing/2014/main" id="{00000000-0008-0000-0000-00001B2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01900" y="66675"/>
          <a:ext cx="1840706" cy="861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20Management/England%20North/Leeds/NCN%20&amp;%20Links%20to%20Schools/Queensbury_Tunnel_Feas_Study/26%20Amendments/Agreed%20approach/13358_Cost_amendment_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_Lists"/>
      <sheetName val="Design Schedule"/>
      <sheetName val="Scheme Costs_REF"/>
      <sheetName val="Scheme Costs_OB"/>
      <sheetName val="Scheme Costs_OB_INF"/>
      <sheetName val="Scheme Costs_OB_INF_COST"/>
      <sheetName val="Uncontrolled crossing"/>
      <sheetName val="Controlled Crossing"/>
      <sheetName val="Controlled Crossing (Separated)"/>
      <sheetName val="Zebra Crossing"/>
      <sheetName val="Zebra Crossing (Separated)"/>
      <sheetName val="3m Wide Shared Path"/>
      <sheetName val="4.5m Wide Shared Path"/>
      <sheetName val="5m Wide Shared Path"/>
      <sheetName val="One-way light Seperated Tracks"/>
      <sheetName val="Bi directional Kerb Separated"/>
      <sheetName val="One-way Kerb Separated"/>
      <sheetName val="Mixed Traffic Environment"/>
      <sheetName val="Trotting Strip"/>
      <sheetName val="Resurfacing"/>
      <sheetName val="Fencing"/>
      <sheetName val="Modal Filter"/>
      <sheetName val="Street Lighting"/>
      <sheetName val="Street Lighting Bollards"/>
      <sheetName val="Bus Gate"/>
      <sheetName val="Shared Path"/>
      <sheetName val="Improve Existing Traffic Free"/>
      <sheetName val="Earthworks Ramp"/>
      <sheetName val="3m Wide Shared Path on slope"/>
      <sheetName val="Wayfinding Signage"/>
      <sheetName val="Security (Tunnels)"/>
      <sheetName val="Tunnel Works"/>
      <sheetName val="4m Wide Shared Tunnel Path"/>
      <sheetName val="Maintenance"/>
    </sheetNames>
    <sheetDataSet>
      <sheetData sheetId="0">
        <row r="10">
          <cell r="K10">
            <v>15</v>
          </cell>
        </row>
        <row r="11">
          <cell r="K11">
            <v>10</v>
          </cell>
        </row>
        <row r="12">
          <cell r="K12">
            <v>15</v>
          </cell>
        </row>
        <row r="13">
          <cell r="K13">
            <v>10</v>
          </cell>
        </row>
        <row r="14">
          <cell r="K14">
            <v>8</v>
          </cell>
        </row>
        <row r="19">
          <cell r="K19">
            <v>0.5</v>
          </cell>
        </row>
        <row r="20">
          <cell r="K20">
            <v>5</v>
          </cell>
        </row>
      </sheetData>
      <sheetData sheetId="1">
        <row r="2">
          <cell r="BI2" t="str">
            <v>Non-tunnel &amp; bridge</v>
          </cell>
          <cell r="BK2" t="str">
            <v>Tunnel &amp; bridge (structures only)</v>
          </cell>
        </row>
        <row r="3">
          <cell r="A3" t="str">
            <v>Corridor</v>
          </cell>
          <cell r="BD3" t="str">
            <v>Calculated Construction Cost excluding tunnel and bridge works (£)</v>
          </cell>
          <cell r="BE3" t="str">
            <v>Calculated Construction Cost tunnel and bridge works (£)</v>
          </cell>
          <cell r="BI3" t="str">
            <v>Ecology Cost</v>
          </cell>
          <cell r="BJ3" t="str">
            <v>Land &amp; Legal Cost</v>
          </cell>
          <cell r="BK3" t="str">
            <v>Ecology Cost</v>
          </cell>
          <cell r="BL3" t="str">
            <v>Land &amp; Legal Cost</v>
          </cell>
          <cell r="BO3" t="str">
            <v>Tunnel Maintenance Cost (inc. cycle &amp; walking infrastructure)</v>
          </cell>
          <cell r="BP3" t="str">
            <v xml:space="preserve">Other (Non-tunnel) Maintenance Cost </v>
          </cell>
        </row>
        <row r="4">
          <cell r="A4" t="str">
            <v>Halifax to Holmfield</v>
          </cell>
          <cell r="BD4">
            <v>32912</v>
          </cell>
          <cell r="BE4" t="str">
            <v>-</v>
          </cell>
          <cell r="BI4" t="str">
            <v>-</v>
          </cell>
          <cell r="BJ4" t="str">
            <v>-</v>
          </cell>
          <cell r="BK4" t="str">
            <v>-</v>
          </cell>
          <cell r="BL4" t="str">
            <v>-</v>
          </cell>
          <cell r="BO4" t="str">
            <v>-</v>
          </cell>
          <cell r="BP4" t="str">
            <v>-</v>
          </cell>
        </row>
        <row r="5">
          <cell r="A5" t="str">
            <v>Halifax to Holmfield</v>
          </cell>
          <cell r="BD5">
            <v>28656</v>
          </cell>
          <cell r="BE5" t="str">
            <v>-</v>
          </cell>
          <cell r="BI5" t="str">
            <v>-</v>
          </cell>
          <cell r="BJ5" t="str">
            <v>-</v>
          </cell>
          <cell r="BK5" t="str">
            <v>-</v>
          </cell>
          <cell r="BL5" t="str">
            <v>-</v>
          </cell>
          <cell r="BO5" t="str">
            <v>-</v>
          </cell>
          <cell r="BP5" t="str">
            <v>-</v>
          </cell>
        </row>
        <row r="6">
          <cell r="A6" t="str">
            <v>Halifax to Holmfield</v>
          </cell>
          <cell r="BD6" t="str">
            <v>-</v>
          </cell>
          <cell r="BE6" t="str">
            <v>-</v>
          </cell>
          <cell r="BI6" t="str">
            <v>-</v>
          </cell>
          <cell r="BJ6" t="str">
            <v>-</v>
          </cell>
          <cell r="BK6" t="str">
            <v>-</v>
          </cell>
          <cell r="BL6" t="str">
            <v>-</v>
          </cell>
          <cell r="BO6" t="str">
            <v>-</v>
          </cell>
          <cell r="BP6" t="str">
            <v>-</v>
          </cell>
        </row>
        <row r="7">
          <cell r="A7" t="str">
            <v>Halifax to Holmfield</v>
          </cell>
          <cell r="BD7">
            <v>98252</v>
          </cell>
          <cell r="BE7" t="str">
            <v>-</v>
          </cell>
          <cell r="BI7" t="str">
            <v>-</v>
          </cell>
          <cell r="BJ7" t="str">
            <v>-</v>
          </cell>
          <cell r="BK7" t="str">
            <v>-</v>
          </cell>
          <cell r="BL7" t="str">
            <v>-</v>
          </cell>
          <cell r="BO7" t="str">
            <v>-</v>
          </cell>
          <cell r="BP7" t="str">
            <v>-</v>
          </cell>
        </row>
        <row r="8">
          <cell r="A8" t="str">
            <v>Halifax to Holmfield</v>
          </cell>
          <cell r="BD8" t="str">
            <v>-</v>
          </cell>
          <cell r="BE8" t="str">
            <v>-</v>
          </cell>
          <cell r="BI8" t="str">
            <v>-</v>
          </cell>
          <cell r="BJ8" t="str">
            <v>-</v>
          </cell>
          <cell r="BK8" t="str">
            <v>-</v>
          </cell>
          <cell r="BL8" t="str">
            <v>-</v>
          </cell>
          <cell r="BO8" t="str">
            <v>-</v>
          </cell>
          <cell r="BP8" t="str">
            <v>-</v>
          </cell>
        </row>
        <row r="9">
          <cell r="A9" t="str">
            <v>Halifax to Holmfield</v>
          </cell>
          <cell r="BD9" t="str">
            <v>-</v>
          </cell>
          <cell r="BE9" t="str">
            <v>-</v>
          </cell>
          <cell r="BI9" t="str">
            <v>-</v>
          </cell>
          <cell r="BJ9" t="str">
            <v>-</v>
          </cell>
          <cell r="BK9" t="str">
            <v>-</v>
          </cell>
          <cell r="BL9" t="str">
            <v>-</v>
          </cell>
          <cell r="BO9" t="str">
            <v>-</v>
          </cell>
          <cell r="BP9" t="str">
            <v>-</v>
          </cell>
        </row>
        <row r="10">
          <cell r="A10" t="str">
            <v>Halifax to Holmfield</v>
          </cell>
          <cell r="BD10" t="str">
            <v>-</v>
          </cell>
          <cell r="BE10" t="str">
            <v>-</v>
          </cell>
          <cell r="BI10" t="str">
            <v>-</v>
          </cell>
          <cell r="BJ10" t="str">
            <v>-</v>
          </cell>
          <cell r="BK10" t="str">
            <v>-</v>
          </cell>
          <cell r="BL10" t="str">
            <v>-</v>
          </cell>
          <cell r="BO10" t="str">
            <v>-</v>
          </cell>
          <cell r="BP10" t="str">
            <v>-</v>
          </cell>
        </row>
        <row r="11">
          <cell r="A11" t="str">
            <v>Halifax to Holmfield: Greenway Option</v>
          </cell>
          <cell r="BD11">
            <v>40000</v>
          </cell>
          <cell r="BE11" t="str">
            <v>-</v>
          </cell>
          <cell r="BI11" t="str">
            <v>-</v>
          </cell>
          <cell r="BJ11" t="str">
            <v>-</v>
          </cell>
          <cell r="BK11" t="str">
            <v>-</v>
          </cell>
          <cell r="BL11" t="str">
            <v>-</v>
          </cell>
          <cell r="BO11" t="str">
            <v>-</v>
          </cell>
          <cell r="BP11" t="str">
            <v>-</v>
          </cell>
        </row>
        <row r="12">
          <cell r="A12" t="str">
            <v>Halifax to Holmfield: Greenway Option</v>
          </cell>
          <cell r="BD12">
            <v>37500</v>
          </cell>
          <cell r="BE12" t="str">
            <v>-</v>
          </cell>
          <cell r="BI12" t="str">
            <v>-</v>
          </cell>
          <cell r="BJ12" t="str">
            <v>-</v>
          </cell>
          <cell r="BK12" t="str">
            <v>-</v>
          </cell>
          <cell r="BL12" t="str">
            <v>-</v>
          </cell>
          <cell r="BO12" t="str">
            <v>-</v>
          </cell>
          <cell r="BP12" t="str">
            <v>-</v>
          </cell>
        </row>
        <row r="13">
          <cell r="A13" t="str">
            <v>Halifax to Holmfield: Greenway Option</v>
          </cell>
          <cell r="BD13">
            <v>20000</v>
          </cell>
          <cell r="BE13" t="str">
            <v>-</v>
          </cell>
          <cell r="BI13" t="str">
            <v>-</v>
          </cell>
          <cell r="BJ13" t="str">
            <v>-</v>
          </cell>
          <cell r="BK13" t="str">
            <v>-</v>
          </cell>
          <cell r="BL13" t="str">
            <v>-</v>
          </cell>
          <cell r="BO13" t="str">
            <v>-</v>
          </cell>
          <cell r="BP13" t="str">
            <v>-</v>
          </cell>
        </row>
        <row r="14">
          <cell r="A14" t="str">
            <v>Halifax to Holmfield: Greenway Option</v>
          </cell>
          <cell r="BD14">
            <v>18750</v>
          </cell>
          <cell r="BE14" t="str">
            <v>-</v>
          </cell>
          <cell r="BI14" t="str">
            <v>-</v>
          </cell>
          <cell r="BJ14" t="str">
            <v>-</v>
          </cell>
          <cell r="BK14" t="str">
            <v>-</v>
          </cell>
          <cell r="BL14" t="str">
            <v>-</v>
          </cell>
          <cell r="BO14" t="str">
            <v>-</v>
          </cell>
          <cell r="BP14" t="str">
            <v>-</v>
          </cell>
        </row>
        <row r="15">
          <cell r="A15" t="str">
            <v>Halifax to Holmfield: Greenway Option</v>
          </cell>
          <cell r="BD15">
            <v>30000</v>
          </cell>
          <cell r="BE15" t="str">
            <v>-</v>
          </cell>
          <cell r="BI15" t="str">
            <v>-</v>
          </cell>
          <cell r="BJ15" t="str">
            <v>-</v>
          </cell>
          <cell r="BK15" t="str">
            <v>-</v>
          </cell>
          <cell r="BL15" t="str">
            <v>-</v>
          </cell>
          <cell r="BO15" t="str">
            <v>-</v>
          </cell>
          <cell r="BP15" t="str">
            <v>-</v>
          </cell>
        </row>
        <row r="16">
          <cell r="A16" t="str">
            <v>Halifax to Holmfield: Greenway Option</v>
          </cell>
          <cell r="BD16">
            <v>5000</v>
          </cell>
          <cell r="BE16" t="str">
            <v>-</v>
          </cell>
          <cell r="BI16" t="str">
            <v>-</v>
          </cell>
          <cell r="BJ16" t="str">
            <v>-</v>
          </cell>
          <cell r="BK16" t="str">
            <v>-</v>
          </cell>
          <cell r="BL16" t="str">
            <v>-</v>
          </cell>
          <cell r="BO16" t="str">
            <v>-</v>
          </cell>
          <cell r="BP16" t="str">
            <v>-</v>
          </cell>
        </row>
        <row r="17">
          <cell r="A17" t="str">
            <v>Halifax to Holmfield: Greenway Option</v>
          </cell>
          <cell r="BD17">
            <v>45496</v>
          </cell>
          <cell r="BE17" t="str">
            <v>-</v>
          </cell>
          <cell r="BI17" t="str">
            <v>-</v>
          </cell>
          <cell r="BJ17" t="str">
            <v>-</v>
          </cell>
          <cell r="BK17" t="str">
            <v>-</v>
          </cell>
          <cell r="BL17" t="str">
            <v>-</v>
          </cell>
          <cell r="BO17" t="str">
            <v>-</v>
          </cell>
          <cell r="BP17" t="str">
            <v>-</v>
          </cell>
        </row>
        <row r="18">
          <cell r="A18" t="str">
            <v>Halifax to Holmfield: Greenway Option</v>
          </cell>
          <cell r="BD18">
            <v>18950</v>
          </cell>
          <cell r="BE18" t="str">
            <v>-</v>
          </cell>
          <cell r="BI18" t="str">
            <v>-</v>
          </cell>
          <cell r="BJ18" t="str">
            <v>-</v>
          </cell>
          <cell r="BK18" t="str">
            <v>-</v>
          </cell>
          <cell r="BL18" t="str">
            <v>-</v>
          </cell>
          <cell r="BO18" t="str">
            <v>-</v>
          </cell>
          <cell r="BP18" t="str">
            <v>-</v>
          </cell>
        </row>
        <row r="19">
          <cell r="A19" t="str">
            <v>Halifax to Holmfield: Greenway Option</v>
          </cell>
          <cell r="BD19">
            <v>96500</v>
          </cell>
          <cell r="BE19" t="str">
            <v>-</v>
          </cell>
          <cell r="BI19" t="str">
            <v>-</v>
          </cell>
          <cell r="BJ19" t="str">
            <v>-</v>
          </cell>
          <cell r="BK19" t="str">
            <v>-</v>
          </cell>
          <cell r="BL19" t="str">
            <v>-</v>
          </cell>
          <cell r="BO19" t="str">
            <v>-</v>
          </cell>
          <cell r="BP19" t="str">
            <v>-</v>
          </cell>
        </row>
        <row r="20">
          <cell r="A20" t="str">
            <v>Halifax to Holmfield: Greenway Option</v>
          </cell>
          <cell r="BD20">
            <v>7416</v>
          </cell>
          <cell r="BE20" t="str">
            <v>-</v>
          </cell>
          <cell r="BI20">
            <v>1112.3999999999999</v>
          </cell>
          <cell r="BJ20">
            <v>741.6</v>
          </cell>
          <cell r="BK20" t="str">
            <v>-</v>
          </cell>
          <cell r="BL20" t="str">
            <v>-</v>
          </cell>
          <cell r="BO20" t="str">
            <v>-</v>
          </cell>
          <cell r="BP20">
            <v>370.8</v>
          </cell>
        </row>
        <row r="21">
          <cell r="A21" t="str">
            <v>Halifax to Holmfield: Greenway Option</v>
          </cell>
          <cell r="BD21">
            <v>10300</v>
          </cell>
          <cell r="BE21" t="str">
            <v>-</v>
          </cell>
          <cell r="BI21">
            <v>1545</v>
          </cell>
          <cell r="BJ21">
            <v>1030</v>
          </cell>
          <cell r="BK21" t="str">
            <v>-</v>
          </cell>
          <cell r="BL21" t="str">
            <v>-</v>
          </cell>
          <cell r="BO21" t="str">
            <v>-</v>
          </cell>
          <cell r="BP21">
            <v>515</v>
          </cell>
        </row>
        <row r="22">
          <cell r="A22" t="str">
            <v>Halifax to Holmfield: Greenway Option</v>
          </cell>
          <cell r="BD22">
            <v>314150</v>
          </cell>
          <cell r="BE22" t="str">
            <v>-</v>
          </cell>
          <cell r="BI22">
            <v>47122.5</v>
          </cell>
          <cell r="BJ22">
            <v>31415</v>
          </cell>
          <cell r="BK22" t="str">
            <v>-</v>
          </cell>
          <cell r="BL22" t="str">
            <v>-</v>
          </cell>
          <cell r="BO22" t="str">
            <v>-</v>
          </cell>
          <cell r="BP22">
            <v>15707.5</v>
          </cell>
        </row>
        <row r="23">
          <cell r="A23" t="str">
            <v>Halifax to Holmfield: Greenway Option</v>
          </cell>
          <cell r="BD23">
            <v>191760</v>
          </cell>
          <cell r="BE23" t="str">
            <v>-</v>
          </cell>
          <cell r="BI23">
            <v>28764</v>
          </cell>
          <cell r="BJ23">
            <v>19176</v>
          </cell>
          <cell r="BK23" t="str">
            <v>-</v>
          </cell>
          <cell r="BL23" t="str">
            <v>-</v>
          </cell>
          <cell r="BO23" t="str">
            <v>-</v>
          </cell>
          <cell r="BP23">
            <v>9588</v>
          </cell>
        </row>
        <row r="24">
          <cell r="A24" t="str">
            <v>Halifax to Holmfield: Greenway Option</v>
          </cell>
          <cell r="BD24">
            <v>27072</v>
          </cell>
          <cell r="BE24" t="str">
            <v>-</v>
          </cell>
          <cell r="BI24">
            <v>4060.7999999999997</v>
          </cell>
          <cell r="BJ24">
            <v>2707.2000000000003</v>
          </cell>
          <cell r="BK24" t="str">
            <v>-</v>
          </cell>
          <cell r="BL24" t="str">
            <v>-</v>
          </cell>
          <cell r="BO24" t="str">
            <v>-</v>
          </cell>
          <cell r="BP24">
            <v>1353.6000000000001</v>
          </cell>
        </row>
        <row r="25">
          <cell r="A25" t="str">
            <v>Halifax to Holmfield: Greenway Option</v>
          </cell>
          <cell r="BD25">
            <v>18800</v>
          </cell>
          <cell r="BE25" t="str">
            <v>-</v>
          </cell>
          <cell r="BI25">
            <v>2820</v>
          </cell>
          <cell r="BJ25">
            <v>1880</v>
          </cell>
          <cell r="BK25" t="str">
            <v>-</v>
          </cell>
          <cell r="BL25" t="str">
            <v>-</v>
          </cell>
          <cell r="BO25" t="str">
            <v>-</v>
          </cell>
          <cell r="BP25">
            <v>940</v>
          </cell>
        </row>
        <row r="26">
          <cell r="A26" t="str">
            <v>Halifax to Holmfield: Greenway Option</v>
          </cell>
          <cell r="BD26">
            <v>29250</v>
          </cell>
          <cell r="BE26" t="str">
            <v>-</v>
          </cell>
          <cell r="BI26">
            <v>4387.5</v>
          </cell>
          <cell r="BJ26">
            <v>2925</v>
          </cell>
          <cell r="BK26" t="str">
            <v>-</v>
          </cell>
          <cell r="BL26" t="str">
            <v>-</v>
          </cell>
          <cell r="BO26" t="str">
            <v>-</v>
          </cell>
          <cell r="BP26">
            <v>1462.5</v>
          </cell>
        </row>
        <row r="27">
          <cell r="A27" t="str">
            <v>Halifax to Holmfield: Greenway Option</v>
          </cell>
          <cell r="BD27">
            <v>10950</v>
          </cell>
          <cell r="BE27" t="str">
            <v>-</v>
          </cell>
          <cell r="BI27">
            <v>1642.5</v>
          </cell>
          <cell r="BJ27" t="str">
            <v>-</v>
          </cell>
          <cell r="BK27" t="str">
            <v>-</v>
          </cell>
          <cell r="BL27" t="str">
            <v>-</v>
          </cell>
          <cell r="BO27" t="str">
            <v>-</v>
          </cell>
          <cell r="BP27" t="str">
            <v>-</v>
          </cell>
        </row>
        <row r="28">
          <cell r="A28" t="str">
            <v>Halifax to Holmfield: Greenway Option</v>
          </cell>
          <cell r="BD28">
            <v>333030</v>
          </cell>
          <cell r="BE28" t="str">
            <v>-</v>
          </cell>
          <cell r="BI28">
            <v>49954.5</v>
          </cell>
          <cell r="BJ28">
            <v>33303</v>
          </cell>
          <cell r="BK28" t="str">
            <v>-</v>
          </cell>
          <cell r="BL28" t="str">
            <v>-</v>
          </cell>
          <cell r="BO28" t="str">
            <v>-</v>
          </cell>
          <cell r="BP28">
            <v>16651.5</v>
          </cell>
        </row>
        <row r="29">
          <cell r="A29" t="str">
            <v>Halifax to Holmfield: Greenway Option</v>
          </cell>
          <cell r="BD29">
            <v>32650</v>
          </cell>
          <cell r="BE29" t="str">
            <v>-</v>
          </cell>
          <cell r="BI29">
            <v>4897.5</v>
          </cell>
          <cell r="BJ29">
            <v>3265</v>
          </cell>
          <cell r="BK29" t="str">
            <v>-</v>
          </cell>
          <cell r="BL29" t="str">
            <v>-</v>
          </cell>
          <cell r="BO29" t="str">
            <v>-</v>
          </cell>
          <cell r="BP29">
            <v>1632.5</v>
          </cell>
        </row>
        <row r="30">
          <cell r="A30" t="str">
            <v>Halifax to Holmfield: Greenway Option</v>
          </cell>
          <cell r="BD30">
            <v>47016</v>
          </cell>
          <cell r="BE30" t="str">
            <v>-</v>
          </cell>
          <cell r="BI30">
            <v>7052.4</v>
          </cell>
          <cell r="BJ30">
            <v>4701.6000000000004</v>
          </cell>
          <cell r="BK30" t="str">
            <v>-</v>
          </cell>
          <cell r="BL30" t="str">
            <v>-</v>
          </cell>
          <cell r="BO30" t="str">
            <v>-</v>
          </cell>
          <cell r="BP30">
            <v>2350.8000000000002</v>
          </cell>
        </row>
        <row r="31">
          <cell r="A31" t="str">
            <v>Halifax to Holmfield</v>
          </cell>
          <cell r="BD31">
            <v>230520</v>
          </cell>
          <cell r="BE31" t="str">
            <v>-</v>
          </cell>
          <cell r="BI31">
            <v>34578</v>
          </cell>
          <cell r="BJ31">
            <v>23052</v>
          </cell>
          <cell r="BK31" t="str">
            <v>-</v>
          </cell>
          <cell r="BL31" t="str">
            <v>-</v>
          </cell>
          <cell r="BO31" t="str">
            <v>-</v>
          </cell>
          <cell r="BP31">
            <v>11526</v>
          </cell>
        </row>
        <row r="32">
          <cell r="A32" t="str">
            <v>Halifax to Holmfield</v>
          </cell>
          <cell r="BD32">
            <v>22600</v>
          </cell>
          <cell r="BE32" t="str">
            <v>-</v>
          </cell>
          <cell r="BI32">
            <v>3390</v>
          </cell>
          <cell r="BJ32">
            <v>2260</v>
          </cell>
          <cell r="BK32" t="str">
            <v>-</v>
          </cell>
          <cell r="BL32" t="str">
            <v>-</v>
          </cell>
          <cell r="BO32" t="str">
            <v>-</v>
          </cell>
          <cell r="BP32">
            <v>1130</v>
          </cell>
        </row>
        <row r="33">
          <cell r="A33" t="str">
            <v>Halifax to Holmfield</v>
          </cell>
          <cell r="BD33">
            <v>32544</v>
          </cell>
          <cell r="BE33" t="str">
            <v>-</v>
          </cell>
          <cell r="BI33">
            <v>4881.5999999999995</v>
          </cell>
          <cell r="BJ33">
            <v>3254.4</v>
          </cell>
          <cell r="BK33" t="str">
            <v>-</v>
          </cell>
          <cell r="BL33" t="str">
            <v>-</v>
          </cell>
          <cell r="BO33" t="str">
            <v>-</v>
          </cell>
          <cell r="BP33">
            <v>1627.2</v>
          </cell>
        </row>
        <row r="34">
          <cell r="A34" t="str">
            <v>Halifax to Holmfield</v>
          </cell>
          <cell r="BD34">
            <v>96500</v>
          </cell>
          <cell r="BE34" t="str">
            <v>-</v>
          </cell>
          <cell r="BI34">
            <v>14475</v>
          </cell>
          <cell r="BJ34" t="str">
            <v>-</v>
          </cell>
          <cell r="BK34" t="str">
            <v>-</v>
          </cell>
          <cell r="BL34" t="str">
            <v>-</v>
          </cell>
          <cell r="BO34" t="str">
            <v>-</v>
          </cell>
          <cell r="BP34" t="str">
            <v>-</v>
          </cell>
        </row>
        <row r="35">
          <cell r="A35" t="str">
            <v xml:space="preserve">Tunnel Option </v>
          </cell>
          <cell r="BD35">
            <v>59675</v>
          </cell>
          <cell r="BE35" t="str">
            <v>-</v>
          </cell>
          <cell r="BI35">
            <v>8951.25</v>
          </cell>
          <cell r="BJ35">
            <v>5967.5</v>
          </cell>
          <cell r="BK35" t="str">
            <v>-</v>
          </cell>
          <cell r="BL35" t="str">
            <v>-</v>
          </cell>
          <cell r="BO35" t="str">
            <v>-</v>
          </cell>
          <cell r="BP35">
            <v>2983.75</v>
          </cell>
        </row>
        <row r="36">
          <cell r="A36" t="str">
            <v xml:space="preserve">Tunnel Option </v>
          </cell>
          <cell r="BD36">
            <v>19250</v>
          </cell>
          <cell r="BE36" t="str">
            <v>-</v>
          </cell>
          <cell r="BI36">
            <v>2887.5</v>
          </cell>
          <cell r="BJ36">
            <v>1925</v>
          </cell>
          <cell r="BK36" t="str">
            <v>-</v>
          </cell>
          <cell r="BL36" t="str">
            <v>-</v>
          </cell>
          <cell r="BO36" t="str">
            <v>-</v>
          </cell>
          <cell r="BP36">
            <v>962.5</v>
          </cell>
        </row>
        <row r="37">
          <cell r="A37" t="str">
            <v xml:space="preserve">Tunnel Option </v>
          </cell>
          <cell r="BD37">
            <v>13860</v>
          </cell>
          <cell r="BE37" t="str">
            <v>-</v>
          </cell>
          <cell r="BI37">
            <v>2079</v>
          </cell>
          <cell r="BJ37">
            <v>1386</v>
          </cell>
          <cell r="BK37" t="str">
            <v>-</v>
          </cell>
          <cell r="BL37" t="str">
            <v>-</v>
          </cell>
          <cell r="BO37" t="str">
            <v>-</v>
          </cell>
          <cell r="BP37">
            <v>693</v>
          </cell>
        </row>
        <row r="38">
          <cell r="A38" t="str">
            <v xml:space="preserve">Tunnel Option </v>
          </cell>
          <cell r="BD38">
            <v>10950</v>
          </cell>
          <cell r="BE38" t="str">
            <v>-</v>
          </cell>
          <cell r="BI38">
            <v>1642.5</v>
          </cell>
          <cell r="BJ38">
            <v>1095</v>
          </cell>
          <cell r="BK38" t="str">
            <v>-</v>
          </cell>
          <cell r="BL38" t="str">
            <v>-</v>
          </cell>
          <cell r="BO38" t="str">
            <v>-</v>
          </cell>
          <cell r="BP38">
            <v>547.5</v>
          </cell>
        </row>
        <row r="39">
          <cell r="A39" t="str">
            <v xml:space="preserve">Tunnel Option </v>
          </cell>
          <cell r="BD39">
            <v>297375</v>
          </cell>
          <cell r="BE39" t="str">
            <v>-</v>
          </cell>
          <cell r="BI39">
            <v>44606.25</v>
          </cell>
          <cell r="BJ39">
            <v>29737.5</v>
          </cell>
          <cell r="BK39" t="str">
            <v>-</v>
          </cell>
          <cell r="BL39" t="str">
            <v>-</v>
          </cell>
          <cell r="BO39" t="str">
            <v>-</v>
          </cell>
          <cell r="BP39">
            <v>14868.75</v>
          </cell>
        </row>
        <row r="40">
          <cell r="A40" t="str">
            <v xml:space="preserve">Tunnel Option </v>
          </cell>
          <cell r="BD40">
            <v>9750</v>
          </cell>
          <cell r="BE40" t="str">
            <v>-</v>
          </cell>
          <cell r="BI40">
            <v>1462.5</v>
          </cell>
          <cell r="BJ40">
            <v>975</v>
          </cell>
          <cell r="BK40" t="str">
            <v>-</v>
          </cell>
          <cell r="BL40" t="str">
            <v>-</v>
          </cell>
          <cell r="BO40" t="str">
            <v>-</v>
          </cell>
          <cell r="BP40">
            <v>487.5</v>
          </cell>
        </row>
        <row r="41">
          <cell r="A41" t="str">
            <v xml:space="preserve">Tunnel Option </v>
          </cell>
          <cell r="BD41">
            <v>7020</v>
          </cell>
          <cell r="BE41" t="str">
            <v>-</v>
          </cell>
          <cell r="BI41">
            <v>1053</v>
          </cell>
          <cell r="BJ41">
            <v>702</v>
          </cell>
          <cell r="BK41" t="str">
            <v>-</v>
          </cell>
          <cell r="BL41" t="str">
            <v>-</v>
          </cell>
          <cell r="BO41" t="str">
            <v>-</v>
          </cell>
          <cell r="BP41">
            <v>351</v>
          </cell>
        </row>
        <row r="42">
          <cell r="A42" t="str">
            <v xml:space="preserve">Tunnel Option </v>
          </cell>
          <cell r="BD42">
            <v>0</v>
          </cell>
          <cell r="BE42" t="str">
            <v>-</v>
          </cell>
          <cell r="BI42" t="str">
            <v>-</v>
          </cell>
          <cell r="BJ42" t="str">
            <v>-</v>
          </cell>
          <cell r="BK42" t="str">
            <v>-</v>
          </cell>
          <cell r="BL42" t="str">
            <v>-</v>
          </cell>
          <cell r="BO42" t="str">
            <v>-</v>
          </cell>
          <cell r="BP42" t="str">
            <v>-</v>
          </cell>
        </row>
        <row r="43">
          <cell r="A43" t="str">
            <v xml:space="preserve">Tunnel Option </v>
          </cell>
          <cell r="BD43">
            <v>542400</v>
          </cell>
          <cell r="BE43" t="str">
            <v>-</v>
          </cell>
          <cell r="BI43" t="str">
            <v>-</v>
          </cell>
          <cell r="BJ43" t="str">
            <v>-</v>
          </cell>
          <cell r="BK43" t="str">
            <v>-</v>
          </cell>
          <cell r="BL43" t="str">
            <v>-</v>
          </cell>
          <cell r="BO43">
            <v>2712</v>
          </cell>
          <cell r="BP43" t="str">
            <v>-</v>
          </cell>
        </row>
        <row r="44">
          <cell r="A44" t="str">
            <v xml:space="preserve">Tunnel Option </v>
          </cell>
          <cell r="BD44">
            <v>160000</v>
          </cell>
          <cell r="BE44" t="str">
            <v>-</v>
          </cell>
          <cell r="BI44" t="str">
            <v>-</v>
          </cell>
          <cell r="BJ44" t="str">
            <v>-</v>
          </cell>
          <cell r="BK44" t="str">
            <v>-</v>
          </cell>
          <cell r="BL44" t="str">
            <v>-</v>
          </cell>
          <cell r="BO44">
            <v>800</v>
          </cell>
          <cell r="BP44" t="str">
            <v>-</v>
          </cell>
        </row>
        <row r="45">
          <cell r="A45" t="str">
            <v xml:space="preserve">Tunnel Option </v>
          </cell>
          <cell r="BD45">
            <v>113000</v>
          </cell>
          <cell r="BE45" t="str">
            <v>-</v>
          </cell>
          <cell r="BI45" t="str">
            <v>-</v>
          </cell>
          <cell r="BJ45" t="str">
            <v>-</v>
          </cell>
          <cell r="BK45" t="str">
            <v>-</v>
          </cell>
          <cell r="BL45" t="str">
            <v>-</v>
          </cell>
          <cell r="BO45">
            <v>565</v>
          </cell>
          <cell r="BP45" t="str">
            <v>-</v>
          </cell>
        </row>
        <row r="46">
          <cell r="A46" t="str">
            <v xml:space="preserve">Tunnel Option </v>
          </cell>
          <cell r="BD46">
            <v>45496</v>
          </cell>
          <cell r="BE46" t="str">
            <v>-</v>
          </cell>
          <cell r="BI46">
            <v>6824.4</v>
          </cell>
          <cell r="BJ46">
            <v>4549.6000000000004</v>
          </cell>
          <cell r="BK46" t="str">
            <v>-</v>
          </cell>
          <cell r="BL46" t="str">
            <v>-</v>
          </cell>
          <cell r="BO46" t="str">
            <v>-</v>
          </cell>
          <cell r="BP46">
            <v>2274.8000000000002</v>
          </cell>
        </row>
        <row r="47">
          <cell r="A47" t="str">
            <v xml:space="preserve">Alpine Option </v>
          </cell>
          <cell r="BD47">
            <v>989400</v>
          </cell>
          <cell r="BE47" t="str">
            <v>-</v>
          </cell>
          <cell r="BI47">
            <v>148410</v>
          </cell>
          <cell r="BJ47">
            <v>98940</v>
          </cell>
          <cell r="BK47" t="str">
            <v>-</v>
          </cell>
          <cell r="BL47" t="str">
            <v>-</v>
          </cell>
          <cell r="BO47" t="str">
            <v>-</v>
          </cell>
          <cell r="BP47">
            <v>49470</v>
          </cell>
        </row>
        <row r="48">
          <cell r="A48" t="str">
            <v xml:space="preserve">Alpine Option </v>
          </cell>
          <cell r="BD48">
            <v>97000</v>
          </cell>
          <cell r="BE48" t="str">
            <v>-</v>
          </cell>
          <cell r="BI48">
            <v>14550</v>
          </cell>
          <cell r="BJ48">
            <v>9700</v>
          </cell>
          <cell r="BK48" t="str">
            <v>-</v>
          </cell>
          <cell r="BL48" t="str">
            <v>-</v>
          </cell>
          <cell r="BO48" t="str">
            <v>-</v>
          </cell>
          <cell r="BP48">
            <v>4850</v>
          </cell>
        </row>
        <row r="49">
          <cell r="A49" t="str">
            <v xml:space="preserve">Alpine Option </v>
          </cell>
          <cell r="BD49">
            <v>139680</v>
          </cell>
          <cell r="BE49" t="str">
            <v>-</v>
          </cell>
          <cell r="BI49">
            <v>20952</v>
          </cell>
          <cell r="BJ49">
            <v>13968</v>
          </cell>
          <cell r="BK49" t="str">
            <v>-</v>
          </cell>
          <cell r="BL49" t="str">
            <v>-</v>
          </cell>
          <cell r="BO49" t="str">
            <v>-</v>
          </cell>
          <cell r="BP49">
            <v>6984</v>
          </cell>
        </row>
        <row r="50">
          <cell r="A50" t="str">
            <v xml:space="preserve">Alpine Option </v>
          </cell>
          <cell r="BD50">
            <v>31270</v>
          </cell>
          <cell r="BE50" t="str">
            <v>-</v>
          </cell>
          <cell r="BI50" t="str">
            <v>-</v>
          </cell>
          <cell r="BJ50" t="str">
            <v>-</v>
          </cell>
          <cell r="BK50" t="str">
            <v>-</v>
          </cell>
          <cell r="BL50" t="str">
            <v>-</v>
          </cell>
          <cell r="BO50" t="str">
            <v>-</v>
          </cell>
          <cell r="BP50" t="str">
            <v>-</v>
          </cell>
        </row>
        <row r="51">
          <cell r="A51" t="str">
            <v xml:space="preserve">Alpine Option </v>
          </cell>
          <cell r="BD51">
            <v>20950</v>
          </cell>
          <cell r="BE51" t="str">
            <v>-</v>
          </cell>
          <cell r="BI51" t="str">
            <v>-</v>
          </cell>
          <cell r="BJ51" t="str">
            <v>-</v>
          </cell>
          <cell r="BK51" t="str">
            <v>-</v>
          </cell>
          <cell r="BL51" t="str">
            <v>-</v>
          </cell>
          <cell r="BO51" t="str">
            <v>-</v>
          </cell>
          <cell r="BP51" t="str">
            <v>-</v>
          </cell>
        </row>
        <row r="52">
          <cell r="A52" t="str">
            <v xml:space="preserve">Alpine Option </v>
          </cell>
          <cell r="BD52">
            <v>10000</v>
          </cell>
          <cell r="BE52" t="str">
            <v>-</v>
          </cell>
          <cell r="BI52" t="str">
            <v>-</v>
          </cell>
          <cell r="BJ52" t="str">
            <v>-</v>
          </cell>
          <cell r="BK52" t="str">
            <v>-</v>
          </cell>
          <cell r="BL52" t="str">
            <v>-</v>
          </cell>
          <cell r="BO52" t="str">
            <v>-</v>
          </cell>
          <cell r="BP52" t="str">
            <v>-</v>
          </cell>
        </row>
        <row r="53">
          <cell r="A53" t="str">
            <v xml:space="preserve">Alpine Option </v>
          </cell>
          <cell r="BD53">
            <v>33345</v>
          </cell>
          <cell r="BE53" t="str">
            <v>-</v>
          </cell>
          <cell r="BI53">
            <v>5001.75</v>
          </cell>
          <cell r="BJ53">
            <v>3334.5</v>
          </cell>
          <cell r="BK53" t="str">
            <v>-</v>
          </cell>
          <cell r="BL53" t="str">
            <v>-</v>
          </cell>
          <cell r="BO53" t="str">
            <v>-</v>
          </cell>
          <cell r="BP53">
            <v>1667.25</v>
          </cell>
        </row>
        <row r="54">
          <cell r="A54" t="str">
            <v xml:space="preserve">Alpine Option </v>
          </cell>
          <cell r="BD54">
            <v>523075</v>
          </cell>
          <cell r="BE54" t="str">
            <v>-</v>
          </cell>
          <cell r="BI54">
            <v>78461.25</v>
          </cell>
          <cell r="BJ54">
            <v>52307.5</v>
          </cell>
          <cell r="BK54" t="str">
            <v>-</v>
          </cell>
          <cell r="BL54" t="str">
            <v>-</v>
          </cell>
          <cell r="BO54" t="str">
            <v>-</v>
          </cell>
          <cell r="BP54">
            <v>26153.75</v>
          </cell>
        </row>
        <row r="55">
          <cell r="A55" t="str">
            <v xml:space="preserve">Alpine Option </v>
          </cell>
          <cell r="BD55">
            <v>9975</v>
          </cell>
          <cell r="BE55" t="str">
            <v>-</v>
          </cell>
          <cell r="BI55">
            <v>1496.25</v>
          </cell>
          <cell r="BJ55">
            <v>997.5</v>
          </cell>
          <cell r="BK55" t="str">
            <v>-</v>
          </cell>
          <cell r="BL55" t="str">
            <v>-</v>
          </cell>
          <cell r="BO55" t="str">
            <v>-</v>
          </cell>
          <cell r="BP55">
            <v>498.75</v>
          </cell>
        </row>
        <row r="56">
          <cell r="A56" t="str">
            <v xml:space="preserve">Alpine Option </v>
          </cell>
          <cell r="BD56">
            <v>18750</v>
          </cell>
          <cell r="BE56" t="str">
            <v>-</v>
          </cell>
          <cell r="BI56">
            <v>2812.5</v>
          </cell>
          <cell r="BJ56" t="str">
            <v>-</v>
          </cell>
          <cell r="BK56" t="str">
            <v>-</v>
          </cell>
          <cell r="BL56" t="str">
            <v>-</v>
          </cell>
          <cell r="BO56" t="str">
            <v>-</v>
          </cell>
          <cell r="BP56" t="str">
            <v>-</v>
          </cell>
        </row>
        <row r="57">
          <cell r="A57" t="str">
            <v xml:space="preserve">Alpine Option </v>
          </cell>
          <cell r="BD57">
            <v>18750</v>
          </cell>
          <cell r="BE57" t="str">
            <v>-</v>
          </cell>
          <cell r="BI57">
            <v>2812.5</v>
          </cell>
          <cell r="BJ57" t="str">
            <v>-</v>
          </cell>
          <cell r="BK57" t="str">
            <v>-</v>
          </cell>
          <cell r="BL57" t="str">
            <v>-</v>
          </cell>
          <cell r="BO57" t="str">
            <v>-</v>
          </cell>
          <cell r="BP57" t="str">
            <v>-</v>
          </cell>
        </row>
        <row r="58">
          <cell r="A58" t="str">
            <v xml:space="preserve">Alpine Option </v>
          </cell>
          <cell r="BD58">
            <v>4875</v>
          </cell>
          <cell r="BE58" t="str">
            <v>-</v>
          </cell>
          <cell r="BI58">
            <v>731.25</v>
          </cell>
          <cell r="BJ58">
            <v>487.5</v>
          </cell>
          <cell r="BK58" t="str">
            <v>-</v>
          </cell>
          <cell r="BL58" t="str">
            <v>-</v>
          </cell>
          <cell r="BO58" t="str">
            <v>-</v>
          </cell>
          <cell r="BP58">
            <v>243.75</v>
          </cell>
        </row>
        <row r="59">
          <cell r="A59" t="str">
            <v xml:space="preserve">Alpine Option </v>
          </cell>
          <cell r="BD59">
            <v>43400</v>
          </cell>
          <cell r="BE59" t="str">
            <v>-</v>
          </cell>
          <cell r="BI59">
            <v>6510</v>
          </cell>
          <cell r="BJ59">
            <v>4340</v>
          </cell>
          <cell r="BK59" t="str">
            <v>-</v>
          </cell>
          <cell r="BL59" t="str">
            <v>-</v>
          </cell>
          <cell r="BO59" t="str">
            <v>-</v>
          </cell>
          <cell r="BP59">
            <v>2170</v>
          </cell>
        </row>
        <row r="60">
          <cell r="A60" t="str">
            <v xml:space="preserve">Alpine Option </v>
          </cell>
          <cell r="BD60">
            <v>6480</v>
          </cell>
          <cell r="BE60" t="str">
            <v>-</v>
          </cell>
          <cell r="BI60">
            <v>972</v>
          </cell>
          <cell r="BJ60">
            <v>648</v>
          </cell>
          <cell r="BK60" t="str">
            <v>-</v>
          </cell>
          <cell r="BL60" t="str">
            <v>-</v>
          </cell>
          <cell r="BO60" t="str">
            <v>-</v>
          </cell>
          <cell r="BP60">
            <v>324</v>
          </cell>
        </row>
        <row r="61">
          <cell r="A61" t="str">
            <v xml:space="preserve">Alpine Option </v>
          </cell>
          <cell r="BD61">
            <v>50000</v>
          </cell>
          <cell r="BE61" t="str">
            <v>-</v>
          </cell>
          <cell r="BI61" t="str">
            <v>-</v>
          </cell>
          <cell r="BJ61" t="str">
            <v>-</v>
          </cell>
          <cell r="BK61" t="str">
            <v>-</v>
          </cell>
          <cell r="BL61" t="str">
            <v>-</v>
          </cell>
          <cell r="BO61" t="str">
            <v>-</v>
          </cell>
          <cell r="BP61" t="str">
            <v>-</v>
          </cell>
        </row>
        <row r="62">
          <cell r="A62" t="str">
            <v xml:space="preserve">Alpine Option </v>
          </cell>
          <cell r="BD62">
            <v>100000</v>
          </cell>
          <cell r="BE62" t="str">
            <v>-</v>
          </cell>
          <cell r="BI62" t="str">
            <v>-</v>
          </cell>
          <cell r="BJ62" t="str">
            <v>-</v>
          </cell>
          <cell r="BK62" t="str">
            <v>-</v>
          </cell>
          <cell r="BL62" t="str">
            <v>-</v>
          </cell>
          <cell r="BO62" t="str">
            <v>-</v>
          </cell>
          <cell r="BP62" t="str">
            <v>-</v>
          </cell>
        </row>
        <row r="63">
          <cell r="A63" t="str">
            <v xml:space="preserve">Alpine Option </v>
          </cell>
          <cell r="BD63">
            <v>53250</v>
          </cell>
          <cell r="BE63" t="str">
            <v>-</v>
          </cell>
          <cell r="BI63" t="str">
            <v>-</v>
          </cell>
          <cell r="BJ63" t="str">
            <v>-</v>
          </cell>
          <cell r="BK63" t="str">
            <v>-</v>
          </cell>
          <cell r="BL63" t="str">
            <v>-</v>
          </cell>
          <cell r="BO63" t="str">
            <v>-</v>
          </cell>
          <cell r="BP63" t="str">
            <v>-</v>
          </cell>
        </row>
        <row r="64">
          <cell r="A64" t="str">
            <v xml:space="preserve">Alpine Option </v>
          </cell>
          <cell r="BD64">
            <v>125000</v>
          </cell>
          <cell r="BE64" t="str">
            <v>-</v>
          </cell>
          <cell r="BI64" t="str">
            <v>-</v>
          </cell>
          <cell r="BJ64" t="str">
            <v>-</v>
          </cell>
          <cell r="BK64" t="str">
            <v>-</v>
          </cell>
          <cell r="BL64" t="str">
            <v>-</v>
          </cell>
          <cell r="BO64" t="str">
            <v>-</v>
          </cell>
          <cell r="BP64" t="str">
            <v>-</v>
          </cell>
        </row>
        <row r="65">
          <cell r="A65" t="str">
            <v xml:space="preserve">Alpine Option </v>
          </cell>
          <cell r="BD65">
            <v>28755</v>
          </cell>
          <cell r="BE65" t="str">
            <v>-</v>
          </cell>
          <cell r="BI65" t="str">
            <v>-</v>
          </cell>
          <cell r="BJ65" t="str">
            <v>-</v>
          </cell>
          <cell r="BK65" t="str">
            <v>-</v>
          </cell>
          <cell r="BL65" t="str">
            <v>-</v>
          </cell>
          <cell r="BO65" t="str">
            <v>-</v>
          </cell>
          <cell r="BP65" t="str">
            <v>-</v>
          </cell>
        </row>
        <row r="66">
          <cell r="A66" t="str">
            <v xml:space="preserve">Alpine Option </v>
          </cell>
          <cell r="BD66">
            <v>96500</v>
          </cell>
          <cell r="BE66" t="str">
            <v>-</v>
          </cell>
          <cell r="BI66" t="str">
            <v>-</v>
          </cell>
          <cell r="BJ66" t="str">
            <v>-</v>
          </cell>
          <cell r="BK66" t="str">
            <v>-</v>
          </cell>
          <cell r="BL66" t="str">
            <v>-</v>
          </cell>
          <cell r="BO66" t="str">
            <v>-</v>
          </cell>
          <cell r="BP66" t="str">
            <v>-</v>
          </cell>
        </row>
        <row r="67">
          <cell r="A67" t="str">
            <v xml:space="preserve">Halifax to Holmfield: Highway Option </v>
          </cell>
          <cell r="BD67" t="str">
            <v>-</v>
          </cell>
          <cell r="BE67" t="str">
            <v>-</v>
          </cell>
          <cell r="BI67" t="str">
            <v>-</v>
          </cell>
          <cell r="BJ67" t="str">
            <v>-</v>
          </cell>
          <cell r="BK67" t="str">
            <v>-</v>
          </cell>
          <cell r="BL67" t="str">
            <v>-</v>
          </cell>
          <cell r="BO67" t="str">
            <v>-</v>
          </cell>
          <cell r="BP67" t="str">
            <v>-</v>
          </cell>
        </row>
        <row r="68">
          <cell r="A68" t="str">
            <v xml:space="preserve">Halifax to Holmfield: Highway Option </v>
          </cell>
          <cell r="BD68">
            <v>64000</v>
          </cell>
          <cell r="BE68" t="str">
            <v>-</v>
          </cell>
          <cell r="BI68" t="str">
            <v>-</v>
          </cell>
          <cell r="BJ68" t="str">
            <v>-</v>
          </cell>
          <cell r="BK68" t="str">
            <v>-</v>
          </cell>
          <cell r="BL68" t="str">
            <v>-</v>
          </cell>
          <cell r="BO68" t="str">
            <v>-</v>
          </cell>
          <cell r="BP68" t="str">
            <v>-</v>
          </cell>
        </row>
        <row r="69">
          <cell r="A69" t="str">
            <v xml:space="preserve">Halifax to Holmfield: Highway Option </v>
          </cell>
          <cell r="BD69">
            <v>96500</v>
          </cell>
          <cell r="BE69" t="str">
            <v>-</v>
          </cell>
          <cell r="BI69" t="str">
            <v>-</v>
          </cell>
          <cell r="BJ69" t="str">
            <v>-</v>
          </cell>
          <cell r="BK69" t="str">
            <v>-</v>
          </cell>
          <cell r="BL69" t="str">
            <v>-</v>
          </cell>
          <cell r="BO69" t="str">
            <v>-</v>
          </cell>
          <cell r="BP69" t="str">
            <v>-</v>
          </cell>
        </row>
        <row r="70">
          <cell r="A70" t="str">
            <v xml:space="preserve">Halifax to Holmfield: Highway Option </v>
          </cell>
          <cell r="BD70">
            <v>156350</v>
          </cell>
          <cell r="BE70" t="str">
            <v>-</v>
          </cell>
          <cell r="BI70" t="str">
            <v>-</v>
          </cell>
          <cell r="BJ70" t="str">
            <v>-</v>
          </cell>
          <cell r="BK70" t="str">
            <v>-</v>
          </cell>
          <cell r="BL70" t="str">
            <v>-</v>
          </cell>
          <cell r="BO70" t="str">
            <v>-</v>
          </cell>
          <cell r="BP70" t="str">
            <v>-</v>
          </cell>
        </row>
        <row r="71">
          <cell r="A71" t="str">
            <v xml:space="preserve">Halifax to Holmfield: Highway Option </v>
          </cell>
          <cell r="BD71">
            <v>56000</v>
          </cell>
          <cell r="BE71" t="str">
            <v>-</v>
          </cell>
          <cell r="BI71">
            <v>8400</v>
          </cell>
          <cell r="BJ71">
            <v>5600</v>
          </cell>
          <cell r="BK71" t="str">
            <v>-</v>
          </cell>
          <cell r="BL71" t="str">
            <v>-</v>
          </cell>
          <cell r="BO71" t="str">
            <v>-</v>
          </cell>
          <cell r="BP71">
            <v>2800</v>
          </cell>
        </row>
        <row r="72">
          <cell r="A72" t="str">
            <v xml:space="preserve">Halifax to Holmfield: Highway Option </v>
          </cell>
          <cell r="BD72">
            <v>77585</v>
          </cell>
          <cell r="BE72" t="str">
            <v>-</v>
          </cell>
          <cell r="BI72" t="str">
            <v>-</v>
          </cell>
          <cell r="BJ72" t="str">
            <v>-</v>
          </cell>
          <cell r="BK72" t="str">
            <v>-</v>
          </cell>
          <cell r="BL72" t="str">
            <v>-</v>
          </cell>
          <cell r="BO72" t="str">
            <v>-</v>
          </cell>
          <cell r="BP72" t="str">
            <v>-</v>
          </cell>
        </row>
        <row r="73">
          <cell r="A73" t="str">
            <v xml:space="preserve">Halifax to Holmfield: Highway Option </v>
          </cell>
          <cell r="BD73">
            <v>96500</v>
          </cell>
          <cell r="BE73" t="str">
            <v>-</v>
          </cell>
          <cell r="BI73" t="str">
            <v>-</v>
          </cell>
          <cell r="BJ73" t="str">
            <v>-</v>
          </cell>
          <cell r="BK73" t="str">
            <v>-</v>
          </cell>
          <cell r="BL73" t="str">
            <v>-</v>
          </cell>
          <cell r="BO73" t="str">
            <v>-</v>
          </cell>
          <cell r="BP73" t="str">
            <v>-</v>
          </cell>
        </row>
        <row r="74">
          <cell r="A74" t="str">
            <v xml:space="preserve">Halifax to Holmfield: Highway Option </v>
          </cell>
          <cell r="BD74">
            <v>2500</v>
          </cell>
          <cell r="BE74" t="str">
            <v>-</v>
          </cell>
          <cell r="BI74" t="str">
            <v>-</v>
          </cell>
          <cell r="BJ74" t="str">
            <v>-</v>
          </cell>
          <cell r="BK74" t="str">
            <v>-</v>
          </cell>
          <cell r="BL74" t="str">
            <v>-</v>
          </cell>
          <cell r="BO74" t="str">
            <v>-</v>
          </cell>
          <cell r="BP74" t="str">
            <v>-</v>
          </cell>
        </row>
        <row r="75">
          <cell r="A75" t="str">
            <v>Halifax to Holmfield</v>
          </cell>
          <cell r="BD75">
            <v>16830</v>
          </cell>
          <cell r="BE75" t="str">
            <v>-</v>
          </cell>
          <cell r="BI75" t="str">
            <v>-</v>
          </cell>
          <cell r="BJ75">
            <v>1683</v>
          </cell>
          <cell r="BK75" t="str">
            <v>-</v>
          </cell>
          <cell r="BL75" t="str">
            <v>-</v>
          </cell>
          <cell r="BO75" t="str">
            <v>-</v>
          </cell>
          <cell r="BP75">
            <v>841.5</v>
          </cell>
        </row>
        <row r="76">
          <cell r="A76" t="str">
            <v>Halifax to Holmfield</v>
          </cell>
          <cell r="BD76">
            <v>1656</v>
          </cell>
          <cell r="BE76" t="str">
            <v>-</v>
          </cell>
          <cell r="BI76" t="str">
            <v>-</v>
          </cell>
          <cell r="BJ76">
            <v>165.60000000000002</v>
          </cell>
          <cell r="BK76" t="str">
            <v>-</v>
          </cell>
          <cell r="BL76" t="str">
            <v>-</v>
          </cell>
          <cell r="BO76" t="str">
            <v>-</v>
          </cell>
          <cell r="BP76">
            <v>82.800000000000011</v>
          </cell>
        </row>
        <row r="77">
          <cell r="A77" t="str">
            <v>Halifax to Holmfield</v>
          </cell>
          <cell r="BD77">
            <v>16965</v>
          </cell>
          <cell r="BE77" t="str">
            <v>-</v>
          </cell>
          <cell r="BI77" t="str">
            <v>-</v>
          </cell>
          <cell r="BJ77">
            <v>1696.5</v>
          </cell>
          <cell r="BK77" t="str">
            <v>-</v>
          </cell>
          <cell r="BL77" t="str">
            <v>-</v>
          </cell>
          <cell r="BO77" t="str">
            <v>-</v>
          </cell>
          <cell r="BP77">
            <v>848.25</v>
          </cell>
        </row>
        <row r="78">
          <cell r="A78" t="str">
            <v xml:space="preserve">West Bradford: Clayton Option </v>
          </cell>
          <cell r="BD78">
            <v>157530</v>
          </cell>
          <cell r="BE78" t="str">
            <v>-</v>
          </cell>
          <cell r="BI78" t="str">
            <v>-</v>
          </cell>
          <cell r="BJ78">
            <v>15753</v>
          </cell>
          <cell r="BK78" t="str">
            <v>-</v>
          </cell>
          <cell r="BL78" t="str">
            <v>-</v>
          </cell>
          <cell r="BO78" t="str">
            <v>-</v>
          </cell>
          <cell r="BP78" t="str">
            <v>-</v>
          </cell>
        </row>
        <row r="79">
          <cell r="A79" t="str">
            <v xml:space="preserve">West Bradford: Clayton Option </v>
          </cell>
          <cell r="BD79">
            <v>18750</v>
          </cell>
          <cell r="BE79" t="str">
            <v>-</v>
          </cell>
          <cell r="BI79" t="str">
            <v>-</v>
          </cell>
          <cell r="BJ79">
            <v>1875</v>
          </cell>
          <cell r="BK79" t="str">
            <v>-</v>
          </cell>
          <cell r="BL79" t="str">
            <v>-</v>
          </cell>
          <cell r="BO79" t="str">
            <v>-</v>
          </cell>
          <cell r="BP79" t="str">
            <v>-</v>
          </cell>
        </row>
        <row r="80">
          <cell r="A80" t="str">
            <v xml:space="preserve">West Bradford: Clayton Option </v>
          </cell>
          <cell r="BD80">
            <v>25568</v>
          </cell>
          <cell r="BE80" t="str">
            <v>-</v>
          </cell>
          <cell r="BI80">
            <v>3835.2</v>
          </cell>
          <cell r="BJ80">
            <v>2556.8000000000002</v>
          </cell>
          <cell r="BK80" t="str">
            <v>-</v>
          </cell>
          <cell r="BL80" t="str">
            <v>-</v>
          </cell>
          <cell r="BO80" t="str">
            <v>-</v>
          </cell>
          <cell r="BP80">
            <v>1278.4000000000001</v>
          </cell>
        </row>
        <row r="81">
          <cell r="A81" t="str">
            <v xml:space="preserve">West Bradford: Clayton Option </v>
          </cell>
          <cell r="BD81">
            <v>64484</v>
          </cell>
          <cell r="BE81" t="str">
            <v>-</v>
          </cell>
          <cell r="BI81">
            <v>9672.6</v>
          </cell>
          <cell r="BJ81">
            <v>6448.4000000000005</v>
          </cell>
          <cell r="BK81" t="str">
            <v>-</v>
          </cell>
          <cell r="BL81" t="str">
            <v>-</v>
          </cell>
          <cell r="BO81" t="str">
            <v>-</v>
          </cell>
          <cell r="BP81">
            <v>3224.2000000000003</v>
          </cell>
        </row>
        <row r="82">
          <cell r="A82" t="str">
            <v xml:space="preserve">West Bradford: Clayton Option </v>
          </cell>
          <cell r="BD82">
            <v>112500</v>
          </cell>
          <cell r="BE82" t="str">
            <v>-</v>
          </cell>
          <cell r="BI82">
            <v>16875</v>
          </cell>
          <cell r="BJ82">
            <v>11250</v>
          </cell>
          <cell r="BK82" t="str">
            <v>-</v>
          </cell>
          <cell r="BL82" t="str">
            <v>-</v>
          </cell>
          <cell r="BO82" t="str">
            <v>-</v>
          </cell>
          <cell r="BP82">
            <v>5625</v>
          </cell>
        </row>
        <row r="83">
          <cell r="A83" t="str">
            <v xml:space="preserve">West Bradford: Clayton Option </v>
          </cell>
          <cell r="BD83">
            <v>96500</v>
          </cell>
          <cell r="BE83" t="str">
            <v>-</v>
          </cell>
          <cell r="BI83">
            <v>14475</v>
          </cell>
          <cell r="BJ83" t="str">
            <v>-</v>
          </cell>
          <cell r="BK83" t="str">
            <v>-</v>
          </cell>
          <cell r="BL83" t="str">
            <v>-</v>
          </cell>
          <cell r="BO83" t="str">
            <v>-</v>
          </cell>
          <cell r="BP83" t="str">
            <v>-</v>
          </cell>
        </row>
        <row r="84">
          <cell r="A84" t="str">
            <v xml:space="preserve">West Bradford: Clayton Option </v>
          </cell>
          <cell r="BD84">
            <v>58656</v>
          </cell>
          <cell r="BE84" t="str">
            <v>-</v>
          </cell>
          <cell r="BI84">
            <v>8798.4</v>
          </cell>
          <cell r="BJ84">
            <v>5865.6</v>
          </cell>
          <cell r="BK84" t="str">
            <v>-</v>
          </cell>
          <cell r="BL84" t="str">
            <v>-</v>
          </cell>
          <cell r="BO84" t="str">
            <v>-</v>
          </cell>
          <cell r="BP84">
            <v>2932.8</v>
          </cell>
        </row>
        <row r="85">
          <cell r="A85" t="str">
            <v xml:space="preserve">West Bradford: Clayton Option </v>
          </cell>
          <cell r="BD85">
            <v>0</v>
          </cell>
          <cell r="BE85" t="str">
            <v>-</v>
          </cell>
          <cell r="BI85" t="str">
            <v>-</v>
          </cell>
          <cell r="BJ85" t="str">
            <v>-</v>
          </cell>
          <cell r="BK85" t="str">
            <v>-</v>
          </cell>
          <cell r="BL85" t="str">
            <v>-</v>
          </cell>
          <cell r="BO85" t="str">
            <v>-</v>
          </cell>
          <cell r="BP85" t="str">
            <v>-</v>
          </cell>
        </row>
        <row r="86">
          <cell r="A86" t="str">
            <v xml:space="preserve">West Bradford: Clayton Option </v>
          </cell>
          <cell r="BD86">
            <v>29040</v>
          </cell>
          <cell r="BE86" t="str">
            <v>-</v>
          </cell>
          <cell r="BI86">
            <v>4356</v>
          </cell>
          <cell r="BJ86" t="str">
            <v>-</v>
          </cell>
          <cell r="BK86" t="str">
            <v>-</v>
          </cell>
          <cell r="BL86" t="str">
            <v>-</v>
          </cell>
          <cell r="BO86" t="str">
            <v>-</v>
          </cell>
          <cell r="BP86" t="str">
            <v>-</v>
          </cell>
        </row>
        <row r="87">
          <cell r="A87" t="str">
            <v xml:space="preserve">West Bradford: Clayton Option </v>
          </cell>
          <cell r="BD87">
            <v>59540</v>
          </cell>
          <cell r="BE87" t="str">
            <v>-</v>
          </cell>
          <cell r="BI87">
            <v>8931</v>
          </cell>
          <cell r="BJ87">
            <v>5954</v>
          </cell>
          <cell r="BK87" t="str">
            <v>-</v>
          </cell>
          <cell r="BL87" t="str">
            <v>-</v>
          </cell>
          <cell r="BO87" t="str">
            <v>-</v>
          </cell>
          <cell r="BP87">
            <v>2977</v>
          </cell>
        </row>
        <row r="88">
          <cell r="A88" t="str">
            <v xml:space="preserve">West Bradford: Clayton Option </v>
          </cell>
          <cell r="BD88">
            <v>11450</v>
          </cell>
          <cell r="BE88" t="str">
            <v>-</v>
          </cell>
          <cell r="BI88">
            <v>1717.5</v>
          </cell>
          <cell r="BJ88">
            <v>1145</v>
          </cell>
          <cell r="BK88" t="str">
            <v>-</v>
          </cell>
          <cell r="BL88" t="str">
            <v>-</v>
          </cell>
          <cell r="BO88" t="str">
            <v>-</v>
          </cell>
          <cell r="BP88">
            <v>572.5</v>
          </cell>
        </row>
        <row r="89">
          <cell r="A89" t="str">
            <v xml:space="preserve">West Bradford: Clayton Option </v>
          </cell>
          <cell r="BD89">
            <v>119850</v>
          </cell>
          <cell r="BE89" t="str">
            <v>-</v>
          </cell>
          <cell r="BI89">
            <v>17977.5</v>
          </cell>
          <cell r="BJ89">
            <v>11985</v>
          </cell>
          <cell r="BK89" t="str">
            <v>-</v>
          </cell>
          <cell r="BL89" t="str">
            <v>-</v>
          </cell>
          <cell r="BO89" t="str">
            <v>-</v>
          </cell>
          <cell r="BP89">
            <v>5992.5</v>
          </cell>
        </row>
        <row r="90">
          <cell r="A90" t="str">
            <v xml:space="preserve">West Bradford: Clayton Option </v>
          </cell>
          <cell r="BD90">
            <v>11750</v>
          </cell>
          <cell r="BE90" t="str">
            <v>-</v>
          </cell>
          <cell r="BI90">
            <v>1762.5</v>
          </cell>
          <cell r="BJ90">
            <v>1175</v>
          </cell>
          <cell r="BK90" t="str">
            <v>-</v>
          </cell>
          <cell r="BL90" t="str">
            <v>-</v>
          </cell>
          <cell r="BO90" t="str">
            <v>-</v>
          </cell>
          <cell r="BP90">
            <v>587.5</v>
          </cell>
        </row>
        <row r="91">
          <cell r="A91" t="str">
            <v xml:space="preserve">West Bradford: Clayton Option </v>
          </cell>
          <cell r="BD91">
            <v>8460</v>
          </cell>
          <cell r="BE91" t="str">
            <v>-</v>
          </cell>
          <cell r="BI91">
            <v>1269</v>
          </cell>
          <cell r="BJ91">
            <v>846</v>
          </cell>
          <cell r="BK91" t="str">
            <v>-</v>
          </cell>
          <cell r="BL91" t="str">
            <v>-</v>
          </cell>
          <cell r="BO91" t="str">
            <v>-</v>
          </cell>
          <cell r="BP91">
            <v>423</v>
          </cell>
        </row>
        <row r="92">
          <cell r="A92" t="str">
            <v xml:space="preserve">West Bradford: Clayton Option </v>
          </cell>
          <cell r="BD92">
            <v>34410</v>
          </cell>
          <cell r="BE92" t="str">
            <v>-</v>
          </cell>
          <cell r="BI92">
            <v>5161.5</v>
          </cell>
          <cell r="BJ92">
            <v>3441</v>
          </cell>
          <cell r="BK92" t="str">
            <v>-</v>
          </cell>
          <cell r="BL92" t="str">
            <v>-</v>
          </cell>
          <cell r="BO92" t="str">
            <v>-</v>
          </cell>
          <cell r="BP92">
            <v>1720.5</v>
          </cell>
        </row>
        <row r="93">
          <cell r="A93" t="str">
            <v xml:space="preserve">West Bradford: Clayton Option </v>
          </cell>
          <cell r="BD93">
            <v>11100</v>
          </cell>
          <cell r="BE93" t="str">
            <v>-</v>
          </cell>
          <cell r="BI93">
            <v>1665</v>
          </cell>
          <cell r="BJ93">
            <v>1110</v>
          </cell>
          <cell r="BK93" t="str">
            <v>-</v>
          </cell>
          <cell r="BL93" t="str">
            <v>-</v>
          </cell>
          <cell r="BO93" t="str">
            <v>-</v>
          </cell>
          <cell r="BP93">
            <v>555</v>
          </cell>
        </row>
        <row r="94">
          <cell r="A94" t="str">
            <v xml:space="preserve">West Bradford: Clayton Option </v>
          </cell>
          <cell r="BD94">
            <v>11736</v>
          </cell>
          <cell r="BE94" t="str">
            <v>-</v>
          </cell>
          <cell r="BI94">
            <v>1760.3999999999999</v>
          </cell>
          <cell r="BJ94">
            <v>1173.6000000000001</v>
          </cell>
          <cell r="BK94" t="str">
            <v>-</v>
          </cell>
          <cell r="BL94" t="str">
            <v>-</v>
          </cell>
          <cell r="BO94" t="str">
            <v>-</v>
          </cell>
          <cell r="BP94">
            <v>586.80000000000007</v>
          </cell>
        </row>
        <row r="95">
          <cell r="A95" t="str">
            <v xml:space="preserve">West Bradford: Clayton Option </v>
          </cell>
          <cell r="BD95" t="str">
            <v>-</v>
          </cell>
          <cell r="BE95">
            <v>45000</v>
          </cell>
          <cell r="BI95" t="str">
            <v>-</v>
          </cell>
          <cell r="BJ95" t="str">
            <v>-</v>
          </cell>
          <cell r="BK95">
            <v>6750</v>
          </cell>
          <cell r="BL95">
            <v>4500</v>
          </cell>
          <cell r="BO95" t="str">
            <v>-</v>
          </cell>
          <cell r="BP95">
            <v>2250</v>
          </cell>
        </row>
        <row r="96">
          <cell r="A96" t="str">
            <v xml:space="preserve">West Bradford: Clayton Option </v>
          </cell>
          <cell r="BD96">
            <v>183055</v>
          </cell>
          <cell r="BE96" t="str">
            <v>-</v>
          </cell>
          <cell r="BI96">
            <v>27458.25</v>
          </cell>
          <cell r="BJ96">
            <v>18305.5</v>
          </cell>
          <cell r="BK96" t="str">
            <v>-</v>
          </cell>
          <cell r="BL96" t="str">
            <v>-</v>
          </cell>
          <cell r="BO96" t="str">
            <v>-</v>
          </cell>
          <cell r="BP96">
            <v>9152.75</v>
          </cell>
        </row>
        <row r="97">
          <cell r="A97" t="str">
            <v xml:space="preserve">West Bradford: Clayton Option </v>
          </cell>
          <cell r="BD97">
            <v>59050</v>
          </cell>
          <cell r="BE97" t="str">
            <v>-</v>
          </cell>
          <cell r="BI97">
            <v>8857.5</v>
          </cell>
          <cell r="BJ97">
            <v>5905</v>
          </cell>
          <cell r="BK97" t="str">
            <v>-</v>
          </cell>
          <cell r="BL97" t="str">
            <v>-</v>
          </cell>
          <cell r="BO97" t="str">
            <v>-</v>
          </cell>
          <cell r="BP97">
            <v>2952.5</v>
          </cell>
        </row>
        <row r="98">
          <cell r="A98" t="str">
            <v xml:space="preserve">West Bradford: Clayton Option </v>
          </cell>
          <cell r="BD98">
            <v>120696</v>
          </cell>
          <cell r="BE98" t="str">
            <v>-</v>
          </cell>
          <cell r="BI98">
            <v>18104.399999999998</v>
          </cell>
          <cell r="BJ98">
            <v>12069.6</v>
          </cell>
          <cell r="BK98" t="str">
            <v>-</v>
          </cell>
          <cell r="BL98" t="str">
            <v>-</v>
          </cell>
          <cell r="BO98" t="str">
            <v>-</v>
          </cell>
          <cell r="BP98">
            <v>6034.8</v>
          </cell>
        </row>
        <row r="99">
          <cell r="A99" t="str">
            <v xml:space="preserve">West Bradford: Clayton Option </v>
          </cell>
          <cell r="BD99">
            <v>32100</v>
          </cell>
          <cell r="BE99" t="str">
            <v>-</v>
          </cell>
          <cell r="BI99">
            <v>4815</v>
          </cell>
          <cell r="BJ99">
            <v>3210</v>
          </cell>
          <cell r="BK99" t="str">
            <v>-</v>
          </cell>
          <cell r="BL99" t="str">
            <v>-</v>
          </cell>
          <cell r="BO99" t="str">
            <v>-</v>
          </cell>
          <cell r="BP99">
            <v>1605</v>
          </cell>
        </row>
        <row r="100">
          <cell r="A100" t="str">
            <v xml:space="preserve">West Bradford: Clayton Option </v>
          </cell>
          <cell r="BD100">
            <v>13176</v>
          </cell>
          <cell r="BE100" t="str">
            <v>-</v>
          </cell>
          <cell r="BI100">
            <v>1976.3999999999999</v>
          </cell>
          <cell r="BJ100">
            <v>1317.6000000000001</v>
          </cell>
          <cell r="BK100" t="str">
            <v>-</v>
          </cell>
          <cell r="BL100" t="str">
            <v>-</v>
          </cell>
          <cell r="BO100" t="str">
            <v>-</v>
          </cell>
          <cell r="BP100">
            <v>658.80000000000007</v>
          </cell>
        </row>
        <row r="101">
          <cell r="A101" t="str">
            <v xml:space="preserve">West Bradford: Clayton Option </v>
          </cell>
          <cell r="BD101">
            <v>21855</v>
          </cell>
          <cell r="BE101" t="str">
            <v>-</v>
          </cell>
          <cell r="BI101">
            <v>3278.25</v>
          </cell>
          <cell r="BJ101">
            <v>2185.5</v>
          </cell>
          <cell r="BK101" t="str">
            <v>-</v>
          </cell>
          <cell r="BL101" t="str">
            <v>-</v>
          </cell>
          <cell r="BO101" t="str">
            <v>-</v>
          </cell>
          <cell r="BP101">
            <v>1092.75</v>
          </cell>
        </row>
        <row r="102">
          <cell r="A102" t="str">
            <v xml:space="preserve">West Bradford: Clayton Option </v>
          </cell>
          <cell r="BD102">
            <v>7050</v>
          </cell>
          <cell r="BE102" t="str">
            <v>-</v>
          </cell>
          <cell r="BI102">
            <v>1057.5</v>
          </cell>
          <cell r="BJ102">
            <v>705</v>
          </cell>
          <cell r="BK102" t="str">
            <v>-</v>
          </cell>
          <cell r="BL102" t="str">
            <v>-</v>
          </cell>
          <cell r="BO102" t="str">
            <v>-</v>
          </cell>
          <cell r="BP102">
            <v>352.5</v>
          </cell>
        </row>
        <row r="103">
          <cell r="A103" t="str">
            <v xml:space="preserve">West Bradford: Clayton Option </v>
          </cell>
          <cell r="BD103">
            <v>7840</v>
          </cell>
          <cell r="BE103" t="str">
            <v>-</v>
          </cell>
          <cell r="BI103">
            <v>1176</v>
          </cell>
          <cell r="BJ103">
            <v>784</v>
          </cell>
          <cell r="BK103" t="str">
            <v>-</v>
          </cell>
          <cell r="BL103" t="str">
            <v>-</v>
          </cell>
          <cell r="BO103" t="str">
            <v>-</v>
          </cell>
          <cell r="BP103">
            <v>392</v>
          </cell>
        </row>
        <row r="104">
          <cell r="A104" t="str">
            <v xml:space="preserve">West Bradford: Clayton Option </v>
          </cell>
          <cell r="BD104">
            <v>7056</v>
          </cell>
          <cell r="BE104" t="str">
            <v>-</v>
          </cell>
          <cell r="BI104" t="str">
            <v>-</v>
          </cell>
          <cell r="BJ104" t="str">
            <v>-</v>
          </cell>
          <cell r="BK104" t="str">
            <v>-</v>
          </cell>
          <cell r="BL104" t="str">
            <v>-</v>
          </cell>
          <cell r="BO104" t="str">
            <v>-</v>
          </cell>
          <cell r="BP104">
            <v>352.8</v>
          </cell>
        </row>
        <row r="105">
          <cell r="A105" t="str">
            <v xml:space="preserve">West Bradford: Clayton Option </v>
          </cell>
          <cell r="BD105">
            <v>17700</v>
          </cell>
          <cell r="BE105" t="str">
            <v>-</v>
          </cell>
          <cell r="BI105" t="str">
            <v>-</v>
          </cell>
          <cell r="BJ105" t="str">
            <v>-</v>
          </cell>
          <cell r="BK105" t="str">
            <v>-</v>
          </cell>
          <cell r="BL105" t="str">
            <v>-</v>
          </cell>
          <cell r="BO105" t="str">
            <v>-</v>
          </cell>
          <cell r="BP105" t="str">
            <v>-</v>
          </cell>
        </row>
        <row r="106">
          <cell r="A106" t="str">
            <v xml:space="preserve">West Bradford: Clayton Option </v>
          </cell>
          <cell r="BD106">
            <v>41500</v>
          </cell>
          <cell r="BE106" t="str">
            <v>-</v>
          </cell>
          <cell r="BI106" t="str">
            <v>-</v>
          </cell>
          <cell r="BJ106" t="str">
            <v>-</v>
          </cell>
          <cell r="BK106" t="str">
            <v>-</v>
          </cell>
          <cell r="BL106" t="str">
            <v>-</v>
          </cell>
          <cell r="BO106" t="str">
            <v>-</v>
          </cell>
          <cell r="BP106" t="str">
            <v>-</v>
          </cell>
        </row>
        <row r="107">
          <cell r="A107" t="str">
            <v xml:space="preserve">West Bradford: Clayton Option </v>
          </cell>
          <cell r="BD107">
            <v>4840</v>
          </cell>
          <cell r="BE107" t="str">
            <v>-</v>
          </cell>
          <cell r="BI107" t="str">
            <v>-</v>
          </cell>
          <cell r="BJ107" t="str">
            <v>-</v>
          </cell>
          <cell r="BK107" t="str">
            <v>-</v>
          </cell>
          <cell r="BL107" t="str">
            <v>-</v>
          </cell>
          <cell r="BO107" t="str">
            <v>-</v>
          </cell>
          <cell r="BP107" t="str">
            <v>-</v>
          </cell>
        </row>
        <row r="108">
          <cell r="A108" t="str">
            <v xml:space="preserve">West Bradford: Clayton Option </v>
          </cell>
          <cell r="BD108">
            <v>41500</v>
          </cell>
          <cell r="BE108" t="str">
            <v>-</v>
          </cell>
          <cell r="BI108" t="str">
            <v>-</v>
          </cell>
          <cell r="BJ108" t="str">
            <v>-</v>
          </cell>
          <cell r="BK108" t="str">
            <v>-</v>
          </cell>
          <cell r="BL108" t="str">
            <v>-</v>
          </cell>
          <cell r="BO108" t="str">
            <v>-</v>
          </cell>
          <cell r="BP108" t="str">
            <v>-</v>
          </cell>
        </row>
        <row r="109">
          <cell r="A109" t="str">
            <v xml:space="preserve">West Bradford: Clayton Option </v>
          </cell>
          <cell r="BD109">
            <v>597820</v>
          </cell>
          <cell r="BE109" t="str">
            <v>-</v>
          </cell>
          <cell r="BI109" t="str">
            <v>-</v>
          </cell>
          <cell r="BJ109" t="str">
            <v>-</v>
          </cell>
          <cell r="BK109" t="str">
            <v>-</v>
          </cell>
          <cell r="BL109" t="str">
            <v>-</v>
          </cell>
          <cell r="BO109" t="str">
            <v>-</v>
          </cell>
          <cell r="BP109" t="str">
            <v>-</v>
          </cell>
        </row>
        <row r="110">
          <cell r="A110" t="str">
            <v xml:space="preserve">West Bradford: Clayton Option </v>
          </cell>
          <cell r="BD110">
            <v>80000</v>
          </cell>
          <cell r="BE110" t="str">
            <v>-</v>
          </cell>
          <cell r="BI110" t="str">
            <v>-</v>
          </cell>
          <cell r="BJ110" t="str">
            <v>-</v>
          </cell>
          <cell r="BK110" t="str">
            <v>-</v>
          </cell>
          <cell r="BL110" t="str">
            <v>-</v>
          </cell>
          <cell r="BO110" t="str">
            <v>-</v>
          </cell>
          <cell r="BP110" t="str">
            <v>-</v>
          </cell>
        </row>
        <row r="111">
          <cell r="A111" t="str">
            <v xml:space="preserve">West Bradford: Clayton Option </v>
          </cell>
          <cell r="BD111">
            <v>131648</v>
          </cell>
          <cell r="BE111" t="str">
            <v>-</v>
          </cell>
          <cell r="BI111" t="str">
            <v>-</v>
          </cell>
          <cell r="BJ111" t="str">
            <v>-</v>
          </cell>
          <cell r="BK111" t="str">
            <v>-</v>
          </cell>
          <cell r="BL111" t="str">
            <v>-</v>
          </cell>
          <cell r="BO111" t="str">
            <v>-</v>
          </cell>
          <cell r="BP111" t="str">
            <v>-</v>
          </cell>
        </row>
        <row r="112">
          <cell r="A112" t="str">
            <v xml:space="preserve">West Bradford: Clayton Option </v>
          </cell>
          <cell r="BD112">
            <v>49335</v>
          </cell>
          <cell r="BE112" t="str">
            <v>-</v>
          </cell>
          <cell r="BI112">
            <v>7400.25</v>
          </cell>
          <cell r="BJ112">
            <v>4933.5</v>
          </cell>
          <cell r="BK112" t="str">
            <v>-</v>
          </cell>
          <cell r="BL112" t="str">
            <v>-</v>
          </cell>
          <cell r="BO112" t="str">
            <v>-</v>
          </cell>
          <cell r="BP112">
            <v>2466.75</v>
          </cell>
        </row>
        <row r="113">
          <cell r="A113" t="str">
            <v xml:space="preserve">West Bradford: Clayton Option </v>
          </cell>
          <cell r="BD113">
            <v>39060</v>
          </cell>
          <cell r="BE113" t="str">
            <v>-</v>
          </cell>
          <cell r="BI113">
            <v>5859</v>
          </cell>
          <cell r="BJ113">
            <v>3906</v>
          </cell>
          <cell r="BK113" t="str">
            <v>-</v>
          </cell>
          <cell r="BL113" t="str">
            <v>-</v>
          </cell>
          <cell r="BO113" t="str">
            <v>-</v>
          </cell>
          <cell r="BP113">
            <v>1953</v>
          </cell>
        </row>
        <row r="114">
          <cell r="A114" t="str">
            <v xml:space="preserve">West Bradford: Clayton Option </v>
          </cell>
          <cell r="BD114">
            <v>10080</v>
          </cell>
          <cell r="BE114" t="str">
            <v>-</v>
          </cell>
          <cell r="BI114">
            <v>1512</v>
          </cell>
          <cell r="BJ114">
            <v>1008</v>
          </cell>
          <cell r="BK114" t="str">
            <v>-</v>
          </cell>
          <cell r="BL114" t="str">
            <v>-</v>
          </cell>
          <cell r="BO114" t="str">
            <v>-</v>
          </cell>
          <cell r="BP114">
            <v>504</v>
          </cell>
        </row>
        <row r="115">
          <cell r="A115" t="str">
            <v xml:space="preserve">West Bradford: Clayton Option </v>
          </cell>
          <cell r="BD115">
            <v>18144</v>
          </cell>
          <cell r="BE115" t="str">
            <v>-</v>
          </cell>
          <cell r="BI115">
            <v>2721.6</v>
          </cell>
          <cell r="BJ115">
            <v>1814.4</v>
          </cell>
          <cell r="BK115" t="str">
            <v>-</v>
          </cell>
          <cell r="BL115" t="str">
            <v>-</v>
          </cell>
          <cell r="BO115" t="str">
            <v>-</v>
          </cell>
          <cell r="BP115">
            <v>907.2</v>
          </cell>
        </row>
        <row r="116">
          <cell r="A116" t="str">
            <v xml:space="preserve">West Bradford: Clayton Option </v>
          </cell>
          <cell r="BD116">
            <v>9750</v>
          </cell>
          <cell r="BE116" t="str">
            <v>-</v>
          </cell>
          <cell r="BI116">
            <v>1462.5</v>
          </cell>
          <cell r="BJ116">
            <v>975</v>
          </cell>
          <cell r="BK116" t="str">
            <v>-</v>
          </cell>
          <cell r="BL116" t="str">
            <v>-</v>
          </cell>
          <cell r="BO116" t="str">
            <v>-</v>
          </cell>
          <cell r="BP116">
            <v>487.5</v>
          </cell>
        </row>
        <row r="117">
          <cell r="A117" t="str">
            <v xml:space="preserve">West Bradford: Clayton Option </v>
          </cell>
          <cell r="BD117">
            <v>59210</v>
          </cell>
          <cell r="BE117" t="str">
            <v>-</v>
          </cell>
          <cell r="BI117">
            <v>8881.5</v>
          </cell>
          <cell r="BJ117">
            <v>5921</v>
          </cell>
          <cell r="BK117" t="str">
            <v>-</v>
          </cell>
          <cell r="BL117" t="str">
            <v>-</v>
          </cell>
          <cell r="BO117" t="str">
            <v>-</v>
          </cell>
          <cell r="BP117">
            <v>2960.5</v>
          </cell>
        </row>
        <row r="118">
          <cell r="A118" t="str">
            <v xml:space="preserve">West Bradford: Clayton Option </v>
          </cell>
          <cell r="BD118">
            <v>15280</v>
          </cell>
          <cell r="BE118" t="str">
            <v>-</v>
          </cell>
          <cell r="BI118">
            <v>2292</v>
          </cell>
          <cell r="BJ118">
            <v>1528</v>
          </cell>
          <cell r="BK118" t="str">
            <v>-</v>
          </cell>
          <cell r="BL118" t="str">
            <v>-</v>
          </cell>
          <cell r="BO118" t="str">
            <v>-</v>
          </cell>
          <cell r="BP118">
            <v>764</v>
          </cell>
        </row>
        <row r="119">
          <cell r="A119" t="str">
            <v xml:space="preserve">West Bradford: Clayton Option </v>
          </cell>
          <cell r="BD119">
            <v>13752</v>
          </cell>
          <cell r="BE119" t="str">
            <v>-</v>
          </cell>
          <cell r="BI119">
            <v>2062.7999999999997</v>
          </cell>
          <cell r="BJ119">
            <v>1375.2</v>
          </cell>
          <cell r="BK119" t="str">
            <v>-</v>
          </cell>
          <cell r="BL119" t="str">
            <v>-</v>
          </cell>
          <cell r="BO119" t="str">
            <v>-</v>
          </cell>
          <cell r="BP119">
            <v>687.6</v>
          </cell>
        </row>
        <row r="120">
          <cell r="A120" t="str">
            <v xml:space="preserve">West Bradford: Thornton Option </v>
          </cell>
          <cell r="BD120" t="str">
            <v>-</v>
          </cell>
          <cell r="BE120" t="str">
            <v>-</v>
          </cell>
          <cell r="BI120" t="str">
            <v>-</v>
          </cell>
          <cell r="BJ120" t="str">
            <v>-</v>
          </cell>
          <cell r="BK120" t="str">
            <v>-</v>
          </cell>
          <cell r="BL120" t="str">
            <v>-</v>
          </cell>
          <cell r="BO120" t="str">
            <v>-</v>
          </cell>
          <cell r="BP120" t="str">
            <v>-</v>
          </cell>
        </row>
        <row r="121">
          <cell r="A121" t="str">
            <v xml:space="preserve">Keighley to Cullingworth </v>
          </cell>
          <cell r="BD121">
            <v>209000</v>
          </cell>
          <cell r="BE121" t="str">
            <v>-</v>
          </cell>
          <cell r="BI121" t="str">
            <v>-</v>
          </cell>
          <cell r="BJ121" t="str">
            <v>-</v>
          </cell>
          <cell r="BK121" t="str">
            <v>-</v>
          </cell>
          <cell r="BL121" t="str">
            <v>-</v>
          </cell>
          <cell r="BO121" t="str">
            <v>-</v>
          </cell>
          <cell r="BP121" t="str">
            <v>-</v>
          </cell>
        </row>
        <row r="122">
          <cell r="A122" t="str">
            <v xml:space="preserve">Keighley to Cullingworth </v>
          </cell>
          <cell r="BD122">
            <v>18750</v>
          </cell>
          <cell r="BE122" t="str">
            <v>-</v>
          </cell>
          <cell r="BI122" t="str">
            <v>-</v>
          </cell>
          <cell r="BJ122" t="str">
            <v>-</v>
          </cell>
          <cell r="BK122" t="str">
            <v>-</v>
          </cell>
          <cell r="BL122" t="str">
            <v>-</v>
          </cell>
          <cell r="BO122" t="str">
            <v>-</v>
          </cell>
          <cell r="BP122" t="str">
            <v>-</v>
          </cell>
        </row>
        <row r="123">
          <cell r="A123" t="str">
            <v xml:space="preserve">Keighley to Cullingworth </v>
          </cell>
          <cell r="BD123">
            <v>105000</v>
          </cell>
          <cell r="BE123" t="str">
            <v>-</v>
          </cell>
          <cell r="BI123" t="str">
            <v>-</v>
          </cell>
          <cell r="BJ123" t="str">
            <v>-</v>
          </cell>
          <cell r="BK123" t="str">
            <v>-</v>
          </cell>
          <cell r="BL123" t="str">
            <v>-</v>
          </cell>
          <cell r="BO123" t="str">
            <v>-</v>
          </cell>
          <cell r="BP123" t="str">
            <v>-</v>
          </cell>
        </row>
        <row r="124">
          <cell r="A124" t="str">
            <v xml:space="preserve">Keighley to Cullingworth </v>
          </cell>
          <cell r="BD124">
            <v>10000</v>
          </cell>
          <cell r="BE124" t="str">
            <v>-</v>
          </cell>
          <cell r="BI124" t="str">
            <v>-</v>
          </cell>
          <cell r="BJ124" t="str">
            <v>-</v>
          </cell>
          <cell r="BK124" t="str">
            <v>-</v>
          </cell>
          <cell r="BL124" t="str">
            <v>-</v>
          </cell>
          <cell r="BO124" t="str">
            <v>-</v>
          </cell>
          <cell r="BP124" t="str">
            <v>-</v>
          </cell>
        </row>
        <row r="125">
          <cell r="A125" t="str">
            <v xml:space="preserve">Keighley to Cullingworth </v>
          </cell>
          <cell r="BD125">
            <v>75020</v>
          </cell>
          <cell r="BE125" t="str">
            <v>-</v>
          </cell>
          <cell r="BI125" t="str">
            <v>-</v>
          </cell>
          <cell r="BJ125" t="str">
            <v>-</v>
          </cell>
          <cell r="BK125" t="str">
            <v>-</v>
          </cell>
          <cell r="BL125" t="str">
            <v>-</v>
          </cell>
          <cell r="BO125" t="str">
            <v>-</v>
          </cell>
          <cell r="BP125" t="str">
            <v>-</v>
          </cell>
        </row>
        <row r="126">
          <cell r="A126" t="str">
            <v xml:space="preserve">Keighley to Cullingworth </v>
          </cell>
          <cell r="BD126">
            <v>20950</v>
          </cell>
          <cell r="BE126" t="str">
            <v>-</v>
          </cell>
          <cell r="BI126" t="str">
            <v>-</v>
          </cell>
          <cell r="BJ126" t="str">
            <v>-</v>
          </cell>
          <cell r="BK126" t="str">
            <v>-</v>
          </cell>
          <cell r="BL126" t="str">
            <v>-</v>
          </cell>
          <cell r="BO126" t="str">
            <v>-</v>
          </cell>
          <cell r="BP126" t="str">
            <v>-</v>
          </cell>
        </row>
        <row r="127">
          <cell r="A127" t="str">
            <v xml:space="preserve">Keighley to Cullingworth </v>
          </cell>
          <cell r="BD127">
            <v>103250</v>
          </cell>
          <cell r="BE127" t="str">
            <v>-</v>
          </cell>
          <cell r="BI127" t="str">
            <v>-</v>
          </cell>
          <cell r="BJ127" t="str">
            <v>-</v>
          </cell>
          <cell r="BK127" t="str">
            <v>-</v>
          </cell>
          <cell r="BL127" t="str">
            <v>-</v>
          </cell>
          <cell r="BO127" t="str">
            <v>-</v>
          </cell>
          <cell r="BP127" t="str">
            <v>-</v>
          </cell>
        </row>
        <row r="128">
          <cell r="A128" t="str">
            <v xml:space="preserve">Keighley to Cullingworth </v>
          </cell>
          <cell r="BD128">
            <v>53430</v>
          </cell>
          <cell r="BE128" t="str">
            <v>-</v>
          </cell>
          <cell r="BI128">
            <v>8014.5</v>
          </cell>
          <cell r="BJ128" t="str">
            <v>-</v>
          </cell>
          <cell r="BK128" t="str">
            <v>-</v>
          </cell>
          <cell r="BL128" t="str">
            <v>-</v>
          </cell>
          <cell r="BO128" t="str">
            <v>-</v>
          </cell>
          <cell r="BP128">
            <v>2671.5</v>
          </cell>
        </row>
        <row r="129">
          <cell r="A129" t="str">
            <v xml:space="preserve">Keighley to Cullingworth </v>
          </cell>
          <cell r="BD129">
            <v>84320</v>
          </cell>
          <cell r="BE129" t="str">
            <v>-</v>
          </cell>
          <cell r="BI129">
            <v>12648</v>
          </cell>
          <cell r="BJ129" t="str">
            <v>-</v>
          </cell>
          <cell r="BK129" t="str">
            <v>-</v>
          </cell>
          <cell r="BL129" t="str">
            <v>-</v>
          </cell>
          <cell r="BO129" t="str">
            <v>-</v>
          </cell>
          <cell r="BP129">
            <v>4216</v>
          </cell>
        </row>
        <row r="130">
          <cell r="A130" t="str">
            <v xml:space="preserve">Keighley to Cullingworth </v>
          </cell>
          <cell r="BD130">
            <v>21760</v>
          </cell>
          <cell r="BE130" t="str">
            <v>-</v>
          </cell>
          <cell r="BI130">
            <v>3264</v>
          </cell>
          <cell r="BJ130" t="str">
            <v>-</v>
          </cell>
          <cell r="BK130" t="str">
            <v>-</v>
          </cell>
          <cell r="BL130" t="str">
            <v>-</v>
          </cell>
          <cell r="BO130" t="str">
            <v>-</v>
          </cell>
          <cell r="BP130">
            <v>1088</v>
          </cell>
        </row>
        <row r="131">
          <cell r="A131" t="str">
            <v xml:space="preserve">Keighley to Cullingworth </v>
          </cell>
          <cell r="BD131">
            <v>18750</v>
          </cell>
          <cell r="BE131" t="str">
            <v>-</v>
          </cell>
          <cell r="BI131">
            <v>2812.5</v>
          </cell>
          <cell r="BJ131" t="str">
            <v>-</v>
          </cell>
          <cell r="BK131" t="str">
            <v>-</v>
          </cell>
          <cell r="BL131" t="str">
            <v>-</v>
          </cell>
          <cell r="BO131" t="str">
            <v>-</v>
          </cell>
          <cell r="BP131">
            <v>937.5</v>
          </cell>
        </row>
        <row r="132">
          <cell r="A132" t="str">
            <v xml:space="preserve">Keighley to Cullingworth </v>
          </cell>
          <cell r="BD132">
            <v>59605</v>
          </cell>
          <cell r="BE132" t="str">
            <v>-</v>
          </cell>
          <cell r="BI132">
            <v>8940.75</v>
          </cell>
          <cell r="BJ132" t="str">
            <v>-</v>
          </cell>
          <cell r="BK132" t="str">
            <v>-</v>
          </cell>
          <cell r="BL132" t="str">
            <v>-</v>
          </cell>
          <cell r="BO132" t="str">
            <v>-</v>
          </cell>
          <cell r="BP132">
            <v>2980.25</v>
          </cell>
        </row>
        <row r="133">
          <cell r="A133" t="str">
            <v xml:space="preserve">Keighley to Cullingworth </v>
          </cell>
          <cell r="BD133">
            <v>124490</v>
          </cell>
          <cell r="BE133" t="str">
            <v>-</v>
          </cell>
          <cell r="BI133">
            <v>18673.5</v>
          </cell>
          <cell r="BJ133" t="str">
            <v>-</v>
          </cell>
          <cell r="BK133" t="str">
            <v>-</v>
          </cell>
          <cell r="BL133" t="str">
            <v>-</v>
          </cell>
          <cell r="BO133" t="str">
            <v>-</v>
          </cell>
          <cell r="BP133" t="str">
            <v>-</v>
          </cell>
        </row>
        <row r="134">
          <cell r="A134" t="str">
            <v xml:space="preserve">Keighley to Cullingworth </v>
          </cell>
          <cell r="BD134">
            <v>23887.5</v>
          </cell>
          <cell r="BE134" t="str">
            <v>-</v>
          </cell>
          <cell r="BI134">
            <v>3583.125</v>
          </cell>
          <cell r="BJ134" t="str">
            <v>-</v>
          </cell>
          <cell r="BK134" t="str">
            <v>-</v>
          </cell>
          <cell r="BL134" t="str">
            <v>-</v>
          </cell>
          <cell r="BO134" t="str">
            <v>-</v>
          </cell>
          <cell r="BP134" t="str">
            <v>-</v>
          </cell>
        </row>
        <row r="135">
          <cell r="A135" t="str">
            <v xml:space="preserve">Keighley to Cullingworth </v>
          </cell>
          <cell r="BD135">
            <v>210800</v>
          </cell>
          <cell r="BE135" t="str">
            <v>-</v>
          </cell>
          <cell r="BI135">
            <v>31620</v>
          </cell>
          <cell r="BJ135" t="str">
            <v>-</v>
          </cell>
          <cell r="BK135" t="str">
            <v>-</v>
          </cell>
          <cell r="BL135" t="str">
            <v>-</v>
          </cell>
          <cell r="BO135" t="str">
            <v>-</v>
          </cell>
          <cell r="BP135">
            <v>10540</v>
          </cell>
        </row>
        <row r="136">
          <cell r="A136" t="str">
            <v xml:space="preserve">Keighley to Cullingworth </v>
          </cell>
          <cell r="BD136">
            <v>34776</v>
          </cell>
          <cell r="BE136" t="str">
            <v>-</v>
          </cell>
          <cell r="BI136">
            <v>5216.3999999999996</v>
          </cell>
          <cell r="BJ136" t="str">
            <v>-</v>
          </cell>
          <cell r="BK136" t="str">
            <v>-</v>
          </cell>
          <cell r="BL136" t="str">
            <v>-</v>
          </cell>
          <cell r="BO136" t="str">
            <v>-</v>
          </cell>
          <cell r="BP136">
            <v>1738.8000000000002</v>
          </cell>
        </row>
        <row r="137">
          <cell r="A137" t="str">
            <v xml:space="preserve">Keighley to Cullingworth </v>
          </cell>
          <cell r="BD137">
            <v>133930</v>
          </cell>
          <cell r="BE137" t="str">
            <v>-</v>
          </cell>
          <cell r="BI137">
            <v>20089.5</v>
          </cell>
          <cell r="BJ137" t="str">
            <v>-</v>
          </cell>
          <cell r="BK137" t="str">
            <v>-</v>
          </cell>
          <cell r="BL137" t="str">
            <v>-</v>
          </cell>
          <cell r="BO137" t="str">
            <v>-</v>
          </cell>
          <cell r="BP137" t="str">
            <v>-</v>
          </cell>
        </row>
        <row r="138">
          <cell r="A138" t="str">
            <v xml:space="preserve">Keighley to Cullingworth </v>
          </cell>
          <cell r="BD138">
            <v>187687.5</v>
          </cell>
          <cell r="BE138" t="str">
            <v>-</v>
          </cell>
          <cell r="BI138">
            <v>28153.125</v>
          </cell>
          <cell r="BJ138">
            <v>18768.75</v>
          </cell>
          <cell r="BK138" t="str">
            <v>-</v>
          </cell>
          <cell r="BL138" t="str">
            <v>-</v>
          </cell>
          <cell r="BO138" t="str">
            <v>-</v>
          </cell>
          <cell r="BP138">
            <v>9384.375</v>
          </cell>
        </row>
        <row r="139">
          <cell r="A139" t="str">
            <v xml:space="preserve">Keighley to Cullingworth </v>
          </cell>
          <cell r="BD139">
            <v>83390</v>
          </cell>
          <cell r="BE139" t="str">
            <v>-</v>
          </cell>
          <cell r="BI139">
            <v>12508.5</v>
          </cell>
          <cell r="BJ139">
            <v>8339</v>
          </cell>
          <cell r="BK139" t="str">
            <v>-</v>
          </cell>
          <cell r="BL139" t="str">
            <v>-</v>
          </cell>
          <cell r="BO139" t="str">
            <v>-</v>
          </cell>
          <cell r="BP139">
            <v>4169.5</v>
          </cell>
        </row>
        <row r="140">
          <cell r="A140" t="str">
            <v xml:space="preserve">Keighley to Cullingworth </v>
          </cell>
          <cell r="BD140">
            <v>194480</v>
          </cell>
          <cell r="BE140" t="str">
            <v>-</v>
          </cell>
          <cell r="BI140">
            <v>29172</v>
          </cell>
          <cell r="BJ140">
            <v>19448</v>
          </cell>
          <cell r="BK140" t="str">
            <v>-</v>
          </cell>
          <cell r="BL140" t="str">
            <v>-</v>
          </cell>
          <cell r="BO140" t="str">
            <v>-</v>
          </cell>
          <cell r="BP140">
            <v>9724</v>
          </cell>
        </row>
        <row r="141">
          <cell r="A141" t="str">
            <v xml:space="preserve">Keighley to Cullingworth </v>
          </cell>
          <cell r="BD141">
            <v>2275</v>
          </cell>
          <cell r="BE141" t="str">
            <v>-</v>
          </cell>
          <cell r="BI141">
            <v>341.25</v>
          </cell>
          <cell r="BJ141" t="str">
            <v>-</v>
          </cell>
          <cell r="BK141" t="str">
            <v>-</v>
          </cell>
          <cell r="BL141" t="str">
            <v>-</v>
          </cell>
          <cell r="BO141" t="str">
            <v>-</v>
          </cell>
          <cell r="BP141" t="str">
            <v>-</v>
          </cell>
        </row>
        <row r="142">
          <cell r="A142" t="str">
            <v xml:space="preserve">Keighley to Cullingworth </v>
          </cell>
          <cell r="BD142">
            <v>10950</v>
          </cell>
          <cell r="BE142" t="str">
            <v>-</v>
          </cell>
          <cell r="BI142">
            <v>1642.5</v>
          </cell>
          <cell r="BJ142" t="str">
            <v>-</v>
          </cell>
          <cell r="BK142" t="str">
            <v>-</v>
          </cell>
          <cell r="BL142" t="str">
            <v>-</v>
          </cell>
          <cell r="BO142" t="str">
            <v>-</v>
          </cell>
          <cell r="BP142" t="str">
            <v>-</v>
          </cell>
        </row>
        <row r="143">
          <cell r="A143" t="str">
            <v xml:space="preserve">Keighley to Cullingworth </v>
          </cell>
          <cell r="BD143" t="str">
            <v>-</v>
          </cell>
          <cell r="BE143" t="str">
            <v>-</v>
          </cell>
          <cell r="BI143" t="str">
            <v>-</v>
          </cell>
          <cell r="BJ143" t="str">
            <v>-</v>
          </cell>
          <cell r="BK143" t="str">
            <v>-</v>
          </cell>
          <cell r="BL143" t="str">
            <v>-</v>
          </cell>
          <cell r="BO143" t="str">
            <v>-</v>
          </cell>
          <cell r="BP143" t="str">
            <v>-</v>
          </cell>
        </row>
        <row r="144">
          <cell r="A144" t="str">
            <v xml:space="preserve">Cullingworth to Queensbury </v>
          </cell>
          <cell r="BD144">
            <v>186550</v>
          </cell>
          <cell r="BE144" t="str">
            <v>-</v>
          </cell>
          <cell r="BI144">
            <v>27982.5</v>
          </cell>
          <cell r="BJ144" t="str">
            <v>-</v>
          </cell>
          <cell r="BK144" t="str">
            <v>-</v>
          </cell>
          <cell r="BL144" t="str">
            <v>-</v>
          </cell>
          <cell r="BO144" t="str">
            <v>-</v>
          </cell>
          <cell r="BP144">
            <v>9327.5</v>
          </cell>
        </row>
        <row r="145">
          <cell r="A145" t="str">
            <v xml:space="preserve">Cullingworth to Queensbury </v>
          </cell>
          <cell r="BD145">
            <v>114750</v>
          </cell>
          <cell r="BE145" t="str">
            <v>-</v>
          </cell>
          <cell r="BI145">
            <v>17212.5</v>
          </cell>
          <cell r="BJ145">
            <v>11475</v>
          </cell>
          <cell r="BK145" t="str">
            <v>-</v>
          </cell>
          <cell r="BL145" t="str">
            <v>-</v>
          </cell>
          <cell r="BO145" t="str">
            <v>-</v>
          </cell>
          <cell r="BP145">
            <v>5737.5</v>
          </cell>
        </row>
        <row r="146">
          <cell r="A146" t="str">
            <v xml:space="preserve">Cullingworth to Queensbury </v>
          </cell>
          <cell r="BD146">
            <v>8100</v>
          </cell>
          <cell r="BE146" t="str">
            <v>-</v>
          </cell>
          <cell r="BI146">
            <v>1215</v>
          </cell>
          <cell r="BJ146">
            <v>810</v>
          </cell>
          <cell r="BK146" t="str">
            <v>-</v>
          </cell>
          <cell r="BL146" t="str">
            <v>-</v>
          </cell>
          <cell r="BO146" t="str">
            <v>-</v>
          </cell>
          <cell r="BP146">
            <v>405</v>
          </cell>
        </row>
        <row r="147">
          <cell r="A147" t="str">
            <v xml:space="preserve">Cullingworth to Queensbury </v>
          </cell>
          <cell r="BD147">
            <v>10075</v>
          </cell>
          <cell r="BE147" t="str">
            <v>-</v>
          </cell>
          <cell r="BI147">
            <v>1511.25</v>
          </cell>
          <cell r="BJ147">
            <v>1007.5</v>
          </cell>
          <cell r="BK147" t="str">
            <v>-</v>
          </cell>
          <cell r="BL147" t="str">
            <v>-</v>
          </cell>
          <cell r="BO147" t="str">
            <v>-</v>
          </cell>
          <cell r="BP147">
            <v>503.75</v>
          </cell>
        </row>
        <row r="148">
          <cell r="A148" t="str">
            <v xml:space="preserve">Cullingworth to Queensbury </v>
          </cell>
          <cell r="BD148">
            <v>2340</v>
          </cell>
          <cell r="BE148" t="str">
            <v>-</v>
          </cell>
          <cell r="BI148">
            <v>351</v>
          </cell>
          <cell r="BJ148">
            <v>234</v>
          </cell>
          <cell r="BK148" t="str">
            <v>-</v>
          </cell>
          <cell r="BL148" t="str">
            <v>-</v>
          </cell>
          <cell r="BO148" t="str">
            <v>-</v>
          </cell>
          <cell r="BP148">
            <v>117</v>
          </cell>
        </row>
        <row r="149">
          <cell r="A149" t="str">
            <v xml:space="preserve">Cullingworth to Queensbury </v>
          </cell>
          <cell r="BD149">
            <v>22425</v>
          </cell>
          <cell r="BE149" t="str">
            <v>-</v>
          </cell>
          <cell r="BI149">
            <v>3363.75</v>
          </cell>
          <cell r="BJ149">
            <v>2242.5</v>
          </cell>
          <cell r="BK149" t="str">
            <v>-</v>
          </cell>
          <cell r="BL149" t="str">
            <v>-</v>
          </cell>
          <cell r="BO149" t="str">
            <v>-</v>
          </cell>
          <cell r="BP149">
            <v>1121.25</v>
          </cell>
        </row>
        <row r="150">
          <cell r="A150" t="str">
            <v xml:space="preserve">Cullingworth to Queensbury </v>
          </cell>
          <cell r="BD150">
            <v>186050</v>
          </cell>
          <cell r="BE150" t="str">
            <v>-</v>
          </cell>
          <cell r="BI150">
            <v>27907.5</v>
          </cell>
          <cell r="BJ150">
            <v>18605</v>
          </cell>
          <cell r="BK150" t="str">
            <v>-</v>
          </cell>
          <cell r="BL150" t="str">
            <v>-</v>
          </cell>
          <cell r="BO150" t="str">
            <v>-</v>
          </cell>
          <cell r="BP150">
            <v>9302.5</v>
          </cell>
        </row>
        <row r="151">
          <cell r="A151" t="str">
            <v xml:space="preserve">Cullingworth to Queensbury </v>
          </cell>
          <cell r="BD151">
            <v>8784</v>
          </cell>
          <cell r="BE151" t="str">
            <v>-</v>
          </cell>
          <cell r="BI151">
            <v>1317.6</v>
          </cell>
          <cell r="BJ151">
            <v>878.40000000000009</v>
          </cell>
          <cell r="BK151" t="str">
            <v>-</v>
          </cell>
          <cell r="BL151" t="str">
            <v>-</v>
          </cell>
          <cell r="BO151" t="str">
            <v>-</v>
          </cell>
          <cell r="BP151">
            <v>439.20000000000005</v>
          </cell>
        </row>
        <row r="152">
          <cell r="A152" t="str">
            <v xml:space="preserve">Cullingworth to Queensbury </v>
          </cell>
          <cell r="BD152">
            <v>105090</v>
          </cell>
          <cell r="BE152" t="str">
            <v>-</v>
          </cell>
          <cell r="BI152">
            <v>15763.5</v>
          </cell>
          <cell r="BJ152">
            <v>10509</v>
          </cell>
          <cell r="BK152" t="str">
            <v>-</v>
          </cell>
          <cell r="BL152" t="str">
            <v>-</v>
          </cell>
          <cell r="BO152" t="str">
            <v>-</v>
          </cell>
          <cell r="BP152">
            <v>5254.5</v>
          </cell>
        </row>
        <row r="153">
          <cell r="A153" t="str">
            <v xml:space="preserve">Cullingworth to Queensbury </v>
          </cell>
          <cell r="BD153">
            <v>27120</v>
          </cell>
          <cell r="BE153" t="str">
            <v>-</v>
          </cell>
          <cell r="BI153">
            <v>4068</v>
          </cell>
          <cell r="BJ153">
            <v>2712</v>
          </cell>
          <cell r="BK153" t="str">
            <v>-</v>
          </cell>
          <cell r="BL153" t="str">
            <v>-</v>
          </cell>
          <cell r="BO153" t="str">
            <v>-</v>
          </cell>
          <cell r="BP153">
            <v>1356</v>
          </cell>
        </row>
        <row r="154">
          <cell r="A154" t="str">
            <v xml:space="preserve">Cullingworth to Queensbury </v>
          </cell>
          <cell r="BD154" t="str">
            <v>-</v>
          </cell>
          <cell r="BE154">
            <v>5500</v>
          </cell>
          <cell r="BI154" t="str">
            <v>-</v>
          </cell>
          <cell r="BJ154" t="str">
            <v>-</v>
          </cell>
          <cell r="BK154">
            <v>825</v>
          </cell>
          <cell r="BL154">
            <v>550</v>
          </cell>
          <cell r="BO154" t="str">
            <v>-</v>
          </cell>
          <cell r="BP154">
            <v>275</v>
          </cell>
        </row>
        <row r="155">
          <cell r="A155" t="str">
            <v xml:space="preserve">Cullingworth to Queensbury </v>
          </cell>
          <cell r="BD155">
            <v>587125</v>
          </cell>
          <cell r="BE155" t="str">
            <v>-</v>
          </cell>
          <cell r="BI155">
            <v>88068.75</v>
          </cell>
          <cell r="BJ155">
            <v>58712.5</v>
          </cell>
          <cell r="BK155" t="str">
            <v>-</v>
          </cell>
          <cell r="BL155" t="str">
            <v>-</v>
          </cell>
          <cell r="BO155" t="str">
            <v>-</v>
          </cell>
          <cell r="BP155">
            <v>29356.25</v>
          </cell>
        </row>
        <row r="156">
          <cell r="A156" t="str">
            <v xml:space="preserve">Cullingworth to Queensbury </v>
          </cell>
          <cell r="BD156">
            <v>13860</v>
          </cell>
          <cell r="BE156" t="str">
            <v>-</v>
          </cell>
          <cell r="BI156">
            <v>2079</v>
          </cell>
          <cell r="BJ156">
            <v>1386</v>
          </cell>
          <cell r="BK156" t="str">
            <v>-</v>
          </cell>
          <cell r="BL156" t="str">
            <v>-</v>
          </cell>
          <cell r="BO156" t="str">
            <v>-</v>
          </cell>
          <cell r="BP156">
            <v>693</v>
          </cell>
        </row>
        <row r="157">
          <cell r="A157" t="str">
            <v xml:space="preserve">Cullingworth to Queensbury </v>
          </cell>
          <cell r="BD157">
            <v>79200</v>
          </cell>
          <cell r="BE157" t="str">
            <v>-</v>
          </cell>
          <cell r="BI157">
            <v>11880</v>
          </cell>
          <cell r="BJ157">
            <v>7920</v>
          </cell>
          <cell r="BK157" t="str">
            <v>-</v>
          </cell>
          <cell r="BL157" t="str">
            <v>-</v>
          </cell>
          <cell r="BO157" t="str">
            <v>-</v>
          </cell>
          <cell r="BP157">
            <v>3960</v>
          </cell>
        </row>
        <row r="158">
          <cell r="A158" t="str">
            <v xml:space="preserve">Cullingworth to Queensbury </v>
          </cell>
          <cell r="BD158">
            <v>55200</v>
          </cell>
          <cell r="BE158" t="str">
            <v>-</v>
          </cell>
          <cell r="BI158">
            <v>8280</v>
          </cell>
          <cell r="BJ158">
            <v>5520</v>
          </cell>
          <cell r="BK158" t="str">
            <v>-</v>
          </cell>
          <cell r="BL158" t="str">
            <v>-</v>
          </cell>
          <cell r="BO158">
            <v>276</v>
          </cell>
          <cell r="BP158" t="str">
            <v>-</v>
          </cell>
        </row>
        <row r="159">
          <cell r="A159" t="str">
            <v xml:space="preserve">Cullingworth to Queensbury </v>
          </cell>
          <cell r="BD159" t="str">
            <v>-</v>
          </cell>
          <cell r="BE159">
            <v>406180</v>
          </cell>
          <cell r="BI159" t="str">
            <v>-</v>
          </cell>
          <cell r="BJ159" t="str">
            <v>-</v>
          </cell>
          <cell r="BK159">
            <v>60927</v>
          </cell>
          <cell r="BL159">
            <v>40618</v>
          </cell>
          <cell r="BO159">
            <v>2030.9</v>
          </cell>
          <cell r="BP159" t="str">
            <v>-</v>
          </cell>
        </row>
        <row r="160">
          <cell r="A160" t="str">
            <v xml:space="preserve">Cullingworth to Queensbury </v>
          </cell>
          <cell r="BD160">
            <v>120000</v>
          </cell>
          <cell r="BE160" t="str">
            <v>-</v>
          </cell>
          <cell r="BI160">
            <v>18000</v>
          </cell>
          <cell r="BJ160">
            <v>12000</v>
          </cell>
          <cell r="BK160" t="str">
            <v>-</v>
          </cell>
          <cell r="BL160" t="str">
            <v>-</v>
          </cell>
          <cell r="BO160">
            <v>600</v>
          </cell>
          <cell r="BP160" t="str">
            <v>-</v>
          </cell>
        </row>
        <row r="161">
          <cell r="A161" t="str">
            <v xml:space="preserve">Cullingworth to Queensbury </v>
          </cell>
          <cell r="BD161">
            <v>10000</v>
          </cell>
          <cell r="BE161" t="str">
            <v>-</v>
          </cell>
          <cell r="BI161">
            <v>1500</v>
          </cell>
          <cell r="BJ161">
            <v>1000</v>
          </cell>
          <cell r="BK161" t="str">
            <v>-</v>
          </cell>
          <cell r="BL161" t="str">
            <v>-</v>
          </cell>
          <cell r="BO161">
            <v>50</v>
          </cell>
          <cell r="BP161" t="str">
            <v>-</v>
          </cell>
        </row>
        <row r="162">
          <cell r="A162" t="str">
            <v xml:space="preserve">Cullingworth to Queensbury </v>
          </cell>
          <cell r="BD162" t="str">
            <v>-</v>
          </cell>
          <cell r="BE162" t="str">
            <v>-</v>
          </cell>
          <cell r="BI162" t="str">
            <v>-</v>
          </cell>
          <cell r="BJ162" t="str">
            <v>-</v>
          </cell>
          <cell r="BK162" t="str">
            <v>-</v>
          </cell>
          <cell r="BL162" t="str">
            <v>-</v>
          </cell>
          <cell r="BO162" t="str">
            <v>-</v>
          </cell>
          <cell r="BP162" t="str">
            <v>-</v>
          </cell>
        </row>
        <row r="163">
          <cell r="A163" t="str">
            <v xml:space="preserve">Cullingworth to Queensbury </v>
          </cell>
          <cell r="BD163">
            <v>116400</v>
          </cell>
          <cell r="BE163" t="str">
            <v>-</v>
          </cell>
          <cell r="BI163">
            <v>17460</v>
          </cell>
          <cell r="BJ163">
            <v>11640</v>
          </cell>
          <cell r="BK163" t="str">
            <v>-</v>
          </cell>
          <cell r="BL163" t="str">
            <v>-</v>
          </cell>
          <cell r="BO163" t="str">
            <v>-</v>
          </cell>
          <cell r="BP163">
            <v>5820</v>
          </cell>
        </row>
        <row r="164">
          <cell r="A164" t="str">
            <v xml:space="preserve">Cullingworth to Queensbury </v>
          </cell>
          <cell r="BD164" t="str">
            <v>-</v>
          </cell>
          <cell r="BE164">
            <v>238410</v>
          </cell>
          <cell r="BI164" t="str">
            <v>-</v>
          </cell>
          <cell r="BJ164" t="str">
            <v>-</v>
          </cell>
          <cell r="BK164">
            <v>35761.5</v>
          </cell>
          <cell r="BL164">
            <v>23841</v>
          </cell>
          <cell r="BO164">
            <v>1192.05</v>
          </cell>
          <cell r="BP164" t="str">
            <v>-</v>
          </cell>
        </row>
        <row r="165">
          <cell r="A165" t="str">
            <v xml:space="preserve">Cullingworth to Queensbury </v>
          </cell>
          <cell r="BD165">
            <v>32400</v>
          </cell>
          <cell r="BE165" t="str">
            <v>-</v>
          </cell>
          <cell r="BI165">
            <v>4860</v>
          </cell>
          <cell r="BJ165">
            <v>3240</v>
          </cell>
          <cell r="BK165" t="str">
            <v>-</v>
          </cell>
          <cell r="BL165" t="str">
            <v>-</v>
          </cell>
          <cell r="BO165">
            <v>162</v>
          </cell>
          <cell r="BP165" t="str">
            <v>-</v>
          </cell>
        </row>
        <row r="166">
          <cell r="A166" t="str">
            <v xml:space="preserve">Cullingworth to Queensbury </v>
          </cell>
          <cell r="BD166">
            <v>40000</v>
          </cell>
          <cell r="BE166" t="str">
            <v>-</v>
          </cell>
          <cell r="BI166">
            <v>6000</v>
          </cell>
          <cell r="BJ166">
            <v>4000</v>
          </cell>
          <cell r="BK166" t="str">
            <v>-</v>
          </cell>
          <cell r="BL166" t="str">
            <v>-</v>
          </cell>
          <cell r="BO166">
            <v>200</v>
          </cell>
          <cell r="BP166" t="str">
            <v>-</v>
          </cell>
        </row>
        <row r="167">
          <cell r="A167" t="str">
            <v xml:space="preserve">Cullingworth to Queensbury </v>
          </cell>
          <cell r="BD167">
            <v>6750</v>
          </cell>
          <cell r="BE167" t="str">
            <v>-</v>
          </cell>
          <cell r="BI167">
            <v>1012.5</v>
          </cell>
          <cell r="BJ167">
            <v>675</v>
          </cell>
          <cell r="BK167" t="str">
            <v>-</v>
          </cell>
          <cell r="BL167" t="str">
            <v>-</v>
          </cell>
          <cell r="BO167">
            <v>33.75</v>
          </cell>
          <cell r="BP167" t="str">
            <v>-</v>
          </cell>
        </row>
        <row r="168">
          <cell r="A168" t="str">
            <v xml:space="preserve">Cullingworth to Queensbury </v>
          </cell>
          <cell r="BD168">
            <v>145200</v>
          </cell>
          <cell r="BE168" t="str">
            <v>-</v>
          </cell>
          <cell r="BI168">
            <v>21780</v>
          </cell>
          <cell r="BJ168">
            <v>14520</v>
          </cell>
          <cell r="BK168" t="str">
            <v>-</v>
          </cell>
          <cell r="BL168" t="str">
            <v>-</v>
          </cell>
          <cell r="BO168">
            <v>726</v>
          </cell>
          <cell r="BP168" t="str">
            <v>-</v>
          </cell>
        </row>
        <row r="169">
          <cell r="A169" t="str">
            <v xml:space="preserve">Cullingworth to Queensbury </v>
          </cell>
          <cell r="BD169" t="str">
            <v>-</v>
          </cell>
          <cell r="BE169">
            <v>1068430</v>
          </cell>
          <cell r="BI169" t="str">
            <v>-</v>
          </cell>
          <cell r="BJ169" t="str">
            <v>-</v>
          </cell>
          <cell r="BK169">
            <v>160264.5</v>
          </cell>
          <cell r="BL169">
            <v>106843</v>
          </cell>
          <cell r="BO169">
            <v>5342.1500000000005</v>
          </cell>
          <cell r="BP169" t="str">
            <v>-</v>
          </cell>
        </row>
        <row r="170">
          <cell r="A170" t="str">
            <v xml:space="preserve">Cullingworth to Queensbury </v>
          </cell>
          <cell r="BD170">
            <v>60000</v>
          </cell>
          <cell r="BE170" t="str">
            <v>-</v>
          </cell>
          <cell r="BI170">
            <v>9000</v>
          </cell>
          <cell r="BJ170">
            <v>6000</v>
          </cell>
          <cell r="BK170" t="str">
            <v>-</v>
          </cell>
          <cell r="BL170" t="str">
            <v>-</v>
          </cell>
          <cell r="BO170">
            <v>300</v>
          </cell>
          <cell r="BP170" t="str">
            <v>-</v>
          </cell>
        </row>
        <row r="171">
          <cell r="A171" t="str">
            <v xml:space="preserve">Cullingworth to Queensbury </v>
          </cell>
          <cell r="BD171">
            <v>30250</v>
          </cell>
          <cell r="BE171" t="str">
            <v>-</v>
          </cell>
          <cell r="BI171">
            <v>4537.5</v>
          </cell>
          <cell r="BJ171">
            <v>3025</v>
          </cell>
          <cell r="BK171" t="str">
            <v>-</v>
          </cell>
          <cell r="BL171" t="str">
            <v>-</v>
          </cell>
          <cell r="BO171">
            <v>151.25</v>
          </cell>
          <cell r="BP171" t="str">
            <v>-</v>
          </cell>
        </row>
        <row r="172">
          <cell r="A172" t="str">
            <v xml:space="preserve">Cullingworth to Queensbury </v>
          </cell>
          <cell r="BD172">
            <v>119380</v>
          </cell>
          <cell r="BE172" t="str">
            <v>-</v>
          </cell>
          <cell r="BI172">
            <v>17907</v>
          </cell>
          <cell r="BJ172">
            <v>11938</v>
          </cell>
          <cell r="BK172" t="str">
            <v>-</v>
          </cell>
          <cell r="BL172" t="str">
            <v>-</v>
          </cell>
          <cell r="BO172" t="str">
            <v>-</v>
          </cell>
          <cell r="BP172">
            <v>5969</v>
          </cell>
        </row>
        <row r="173">
          <cell r="A173" t="str">
            <v xml:space="preserve">Cullingworth to Queensbury </v>
          </cell>
          <cell r="BD173" t="str">
            <v>-</v>
          </cell>
          <cell r="BE173">
            <v>5500</v>
          </cell>
          <cell r="BI173" t="str">
            <v>-</v>
          </cell>
          <cell r="BJ173" t="str">
            <v>-</v>
          </cell>
          <cell r="BK173">
            <v>825</v>
          </cell>
          <cell r="BL173">
            <v>550</v>
          </cell>
          <cell r="BO173" t="str">
            <v>-</v>
          </cell>
          <cell r="BP173">
            <v>275</v>
          </cell>
        </row>
        <row r="174">
          <cell r="A174" t="str">
            <v xml:space="preserve">Cullingworth to Queensbury </v>
          </cell>
          <cell r="BD174">
            <v>449750</v>
          </cell>
          <cell r="BE174" t="str">
            <v>-</v>
          </cell>
          <cell r="BI174">
            <v>67462.5</v>
          </cell>
          <cell r="BJ174">
            <v>44975</v>
          </cell>
          <cell r="BK174" t="str">
            <v>-</v>
          </cell>
          <cell r="BL174" t="str">
            <v>-</v>
          </cell>
          <cell r="BO174" t="str">
            <v>-</v>
          </cell>
          <cell r="BP174">
            <v>22487.5</v>
          </cell>
        </row>
        <row r="175">
          <cell r="A175" t="str">
            <v xml:space="preserve">Cullingworth to Queensbury </v>
          </cell>
          <cell r="BD175">
            <v>25200</v>
          </cell>
          <cell r="BE175" t="str">
            <v>-</v>
          </cell>
          <cell r="BI175">
            <v>3780</v>
          </cell>
          <cell r="BJ175">
            <v>2520</v>
          </cell>
          <cell r="BK175" t="str">
            <v>-</v>
          </cell>
          <cell r="BL175" t="str">
            <v>-</v>
          </cell>
          <cell r="BO175" t="str">
            <v>-</v>
          </cell>
          <cell r="BP175">
            <v>1260</v>
          </cell>
        </row>
        <row r="176">
          <cell r="A176" t="str">
            <v xml:space="preserve">Cullingworth to Queensbury </v>
          </cell>
          <cell r="BD176">
            <v>301990</v>
          </cell>
          <cell r="BE176" t="str">
            <v>-</v>
          </cell>
          <cell r="BI176">
            <v>45298.5</v>
          </cell>
          <cell r="BJ176">
            <v>30199</v>
          </cell>
          <cell r="BK176" t="str">
            <v>-</v>
          </cell>
          <cell r="BL176" t="str">
            <v>-</v>
          </cell>
          <cell r="BO176" t="str">
            <v>-</v>
          </cell>
          <cell r="BP176">
            <v>15099.5</v>
          </cell>
        </row>
        <row r="177">
          <cell r="A177" t="str">
            <v xml:space="preserve">Cullingworth to Queensbury </v>
          </cell>
          <cell r="BD177">
            <v>34220</v>
          </cell>
          <cell r="BE177" t="str">
            <v>-</v>
          </cell>
          <cell r="BI177">
            <v>5133</v>
          </cell>
          <cell r="BJ177">
            <v>3422</v>
          </cell>
          <cell r="BK177" t="str">
            <v>-</v>
          </cell>
          <cell r="BL177" t="str">
            <v>-</v>
          </cell>
          <cell r="BO177" t="str">
            <v>-</v>
          </cell>
          <cell r="BP177">
            <v>1711</v>
          </cell>
        </row>
        <row r="178">
          <cell r="A178" t="str">
            <v xml:space="preserve">Keighley to Cullingworth </v>
          </cell>
          <cell r="BD178">
            <v>3825</v>
          </cell>
          <cell r="BE178" t="str">
            <v>-</v>
          </cell>
          <cell r="BI178" t="str">
            <v>-</v>
          </cell>
          <cell r="BJ178" t="str">
            <v>-</v>
          </cell>
          <cell r="BK178" t="str">
            <v>-</v>
          </cell>
          <cell r="BL178" t="str">
            <v>-</v>
          </cell>
          <cell r="BO178" t="str">
            <v>-</v>
          </cell>
          <cell r="BP178" t="str">
            <v>-</v>
          </cell>
        </row>
        <row r="179">
          <cell r="A179" t="str">
            <v xml:space="preserve">Cullingworth to Queensbury </v>
          </cell>
          <cell r="BD179">
            <v>3375</v>
          </cell>
          <cell r="BE179" t="str">
            <v>-</v>
          </cell>
          <cell r="BI179" t="str">
            <v>-</v>
          </cell>
          <cell r="BJ179" t="str">
            <v>-</v>
          </cell>
          <cell r="BK179" t="str">
            <v>-</v>
          </cell>
          <cell r="BL179" t="str">
            <v>-</v>
          </cell>
          <cell r="BO179" t="str">
            <v>-</v>
          </cell>
          <cell r="BP179" t="str">
            <v>-</v>
          </cell>
        </row>
        <row r="180">
          <cell r="A180" t="str">
            <v xml:space="preserve">West Bradford: Clayton Option </v>
          </cell>
          <cell r="BD180">
            <v>4950</v>
          </cell>
          <cell r="BE180" t="str">
            <v>-</v>
          </cell>
          <cell r="BI180" t="str">
            <v>-</v>
          </cell>
          <cell r="BJ180" t="str">
            <v>-</v>
          </cell>
          <cell r="BK180" t="str">
            <v>-</v>
          </cell>
          <cell r="BL180" t="str">
            <v>-</v>
          </cell>
          <cell r="BO180" t="str">
            <v>-</v>
          </cell>
          <cell r="BP180" t="str">
            <v>-</v>
          </cell>
        </row>
        <row r="181">
          <cell r="A181" t="str">
            <v>Halifax to Holmfield: Greenway Option</v>
          </cell>
          <cell r="BD181">
            <v>3150</v>
          </cell>
          <cell r="BE181" t="str">
            <v>-</v>
          </cell>
          <cell r="BI181" t="str">
            <v>-</v>
          </cell>
          <cell r="BJ181" t="str">
            <v>-</v>
          </cell>
          <cell r="BK181" t="str">
            <v>-</v>
          </cell>
          <cell r="BL181" t="str">
            <v>-</v>
          </cell>
          <cell r="BO181" t="str">
            <v>-</v>
          </cell>
          <cell r="BP181" t="str">
            <v>-</v>
          </cell>
        </row>
        <row r="182">
          <cell r="A182" t="str">
            <v xml:space="preserve">Alpine Option </v>
          </cell>
          <cell r="BD182">
            <v>3150</v>
          </cell>
          <cell r="BE182" t="str">
            <v>-</v>
          </cell>
          <cell r="BI182" t="str">
            <v>-</v>
          </cell>
          <cell r="BJ182" t="str">
            <v>-</v>
          </cell>
          <cell r="BK182" t="str">
            <v>-</v>
          </cell>
          <cell r="BL182" t="str">
            <v>-</v>
          </cell>
          <cell r="BO182" t="str">
            <v>-</v>
          </cell>
          <cell r="BP182" t="str">
            <v>-</v>
          </cell>
        </row>
        <row r="183">
          <cell r="A183" t="str">
            <v xml:space="preserve">Tunnel Option </v>
          </cell>
          <cell r="BD183">
            <v>450</v>
          </cell>
          <cell r="BE183" t="str">
            <v>-</v>
          </cell>
          <cell r="BI183" t="str">
            <v>-</v>
          </cell>
          <cell r="BJ183" t="str">
            <v>-</v>
          </cell>
          <cell r="BK183" t="str">
            <v>-</v>
          </cell>
          <cell r="BL183" t="str">
            <v>-</v>
          </cell>
          <cell r="BO183" t="str">
            <v>-</v>
          </cell>
          <cell r="BP183" t="str">
            <v>-</v>
          </cell>
        </row>
        <row r="184">
          <cell r="A184" t="str">
            <v xml:space="preserve">Halifax to Holmfield: Highway Option </v>
          </cell>
          <cell r="BD184">
            <v>2925</v>
          </cell>
          <cell r="BE184" t="str">
            <v>-</v>
          </cell>
          <cell r="BI184" t="str">
            <v>-</v>
          </cell>
          <cell r="BJ184" t="str">
            <v>-</v>
          </cell>
          <cell r="BK184" t="str">
            <v>-</v>
          </cell>
          <cell r="BL184" t="str">
            <v>-</v>
          </cell>
          <cell r="BO184" t="str">
            <v>-</v>
          </cell>
          <cell r="BP184" t="str">
            <v>-</v>
          </cell>
        </row>
        <row r="185">
          <cell r="A185" t="str">
            <v>Halifax to Holmfield</v>
          </cell>
          <cell r="BD185">
            <v>900</v>
          </cell>
          <cell r="BE185" t="str">
            <v>-</v>
          </cell>
          <cell r="BI185" t="str">
            <v>-</v>
          </cell>
          <cell r="BJ185" t="str">
            <v>-</v>
          </cell>
          <cell r="BK185" t="str">
            <v>-</v>
          </cell>
          <cell r="BL185" t="str">
            <v>-</v>
          </cell>
          <cell r="BO185" t="str">
            <v>-</v>
          </cell>
          <cell r="BP185" t="str">
            <v>-</v>
          </cell>
        </row>
        <row r="186">
          <cell r="BD186">
            <v>0</v>
          </cell>
          <cell r="BE186" t="str">
            <v>-</v>
          </cell>
          <cell r="BI186" t="str">
            <v>-</v>
          </cell>
          <cell r="BJ186" t="str">
            <v>-</v>
          </cell>
          <cell r="BK186" t="str">
            <v>-</v>
          </cell>
          <cell r="BL186" t="str">
            <v>-</v>
          </cell>
          <cell r="BO186" t="str">
            <v>-</v>
          </cell>
          <cell r="BP186" t="str">
            <v>-</v>
          </cell>
        </row>
        <row r="187">
          <cell r="BD187">
            <v>0</v>
          </cell>
          <cell r="BE187" t="str">
            <v>-</v>
          </cell>
          <cell r="BI187" t="str">
            <v>-</v>
          </cell>
          <cell r="BJ187" t="str">
            <v>-</v>
          </cell>
          <cell r="BK187" t="str">
            <v>-</v>
          </cell>
          <cell r="BL187" t="str">
            <v>-</v>
          </cell>
          <cell r="BO187" t="str">
            <v>-</v>
          </cell>
          <cell r="BP187" t="str">
            <v>-</v>
          </cell>
        </row>
        <row r="188">
          <cell r="BD188">
            <v>0</v>
          </cell>
          <cell r="BE188" t="str">
            <v>-</v>
          </cell>
          <cell r="BI188" t="str">
            <v>-</v>
          </cell>
          <cell r="BJ188" t="str">
            <v>-</v>
          </cell>
          <cell r="BK188" t="str">
            <v>-</v>
          </cell>
          <cell r="BL188" t="str">
            <v>-</v>
          </cell>
          <cell r="BO188" t="str">
            <v>-</v>
          </cell>
          <cell r="BP188" t="str">
            <v>-</v>
          </cell>
        </row>
        <row r="189">
          <cell r="BD189">
            <v>0</v>
          </cell>
          <cell r="BE189" t="str">
            <v>-</v>
          </cell>
          <cell r="BI189" t="str">
            <v>-</v>
          </cell>
          <cell r="BJ189" t="str">
            <v>-</v>
          </cell>
          <cell r="BK189" t="str">
            <v>-</v>
          </cell>
          <cell r="BL189" t="str">
            <v>-</v>
          </cell>
          <cell r="BO189" t="str">
            <v>-</v>
          </cell>
          <cell r="BP189" t="str">
            <v>-</v>
          </cell>
        </row>
        <row r="190">
          <cell r="BD190">
            <v>0</v>
          </cell>
          <cell r="BE190" t="str">
            <v>-</v>
          </cell>
          <cell r="BI190" t="str">
            <v>-</v>
          </cell>
          <cell r="BJ190" t="str">
            <v>-</v>
          </cell>
          <cell r="BK190" t="str">
            <v>-</v>
          </cell>
          <cell r="BL190" t="str">
            <v>-</v>
          </cell>
          <cell r="BO190" t="str">
            <v>-</v>
          </cell>
          <cell r="BP190" t="str">
            <v>-</v>
          </cell>
        </row>
        <row r="191">
          <cell r="BD191">
            <v>0</v>
          </cell>
          <cell r="BE191" t="str">
            <v>-</v>
          </cell>
          <cell r="BI191" t="str">
            <v>-</v>
          </cell>
          <cell r="BJ191" t="str">
            <v>-</v>
          </cell>
          <cell r="BK191" t="str">
            <v>-</v>
          </cell>
          <cell r="BL191" t="str">
            <v>-</v>
          </cell>
          <cell r="BO191" t="str">
            <v>-</v>
          </cell>
          <cell r="BP191" t="str">
            <v>-</v>
          </cell>
        </row>
        <row r="192">
          <cell r="BD192">
            <v>0</v>
          </cell>
          <cell r="BE192" t="str">
            <v>-</v>
          </cell>
          <cell r="BI192" t="str">
            <v>-</v>
          </cell>
          <cell r="BJ192" t="str">
            <v>-</v>
          </cell>
          <cell r="BK192" t="str">
            <v>-</v>
          </cell>
          <cell r="BL192" t="str">
            <v>-</v>
          </cell>
          <cell r="BO192" t="str">
            <v>-</v>
          </cell>
          <cell r="BP192" t="str">
            <v>-</v>
          </cell>
        </row>
        <row r="193">
          <cell r="BD193">
            <v>0</v>
          </cell>
          <cell r="BE193" t="str">
            <v>-</v>
          </cell>
          <cell r="BI193" t="str">
            <v>-</v>
          </cell>
          <cell r="BJ193" t="str">
            <v>-</v>
          </cell>
          <cell r="BK193" t="str">
            <v>-</v>
          </cell>
          <cell r="BL193" t="str">
            <v>-</v>
          </cell>
          <cell r="BO193" t="str">
            <v>-</v>
          </cell>
          <cell r="BP193" t="str">
            <v>-</v>
          </cell>
        </row>
        <row r="194">
          <cell r="BD194">
            <v>0</v>
          </cell>
          <cell r="BE194" t="str">
            <v>-</v>
          </cell>
          <cell r="BI194" t="str">
            <v>-</v>
          </cell>
          <cell r="BJ194" t="str">
            <v>-</v>
          </cell>
          <cell r="BK194" t="str">
            <v>-</v>
          </cell>
          <cell r="BL194" t="str">
            <v>-</v>
          </cell>
          <cell r="BO194" t="str">
            <v>-</v>
          </cell>
          <cell r="BP194" t="str">
            <v>-</v>
          </cell>
        </row>
        <row r="195">
          <cell r="BD195">
            <v>0</v>
          </cell>
          <cell r="BE195" t="str">
            <v>-</v>
          </cell>
          <cell r="BI195" t="str">
            <v>-</v>
          </cell>
          <cell r="BJ195" t="str">
            <v>-</v>
          </cell>
          <cell r="BK195" t="str">
            <v>-</v>
          </cell>
          <cell r="BL195" t="str">
            <v>-</v>
          </cell>
          <cell r="BO195" t="str">
            <v>-</v>
          </cell>
          <cell r="BP195" t="str">
            <v>-</v>
          </cell>
        </row>
        <row r="196">
          <cell r="BD196">
            <v>0</v>
          </cell>
          <cell r="BE196" t="str">
            <v>-</v>
          </cell>
          <cell r="BI196" t="str">
            <v>-</v>
          </cell>
          <cell r="BJ196" t="str">
            <v>-</v>
          </cell>
          <cell r="BK196" t="str">
            <v>-</v>
          </cell>
          <cell r="BL196" t="str">
            <v>-</v>
          </cell>
          <cell r="BO196" t="str">
            <v>-</v>
          </cell>
          <cell r="BP196" t="str">
            <v>-</v>
          </cell>
        </row>
        <row r="197">
          <cell r="BD197">
            <v>0</v>
          </cell>
          <cell r="BE197" t="str">
            <v>-</v>
          </cell>
          <cell r="BI197" t="str">
            <v>-</v>
          </cell>
          <cell r="BJ197" t="str">
            <v>-</v>
          </cell>
          <cell r="BK197" t="str">
            <v>-</v>
          </cell>
          <cell r="BL197" t="str">
            <v>-</v>
          </cell>
          <cell r="BO197" t="str">
            <v>-</v>
          </cell>
          <cell r="BP197" t="str">
            <v>-</v>
          </cell>
        </row>
        <row r="198">
          <cell r="BD198">
            <v>0</v>
          </cell>
          <cell r="BE198" t="str">
            <v>-</v>
          </cell>
          <cell r="BI198" t="str">
            <v>-</v>
          </cell>
          <cell r="BJ198" t="str">
            <v>-</v>
          </cell>
          <cell r="BK198" t="str">
            <v>-</v>
          </cell>
          <cell r="BL198" t="str">
            <v>-</v>
          </cell>
          <cell r="BO198" t="str">
            <v>-</v>
          </cell>
          <cell r="BP198" t="str">
            <v>-</v>
          </cell>
        </row>
        <row r="199">
          <cell r="BD199">
            <v>0</v>
          </cell>
          <cell r="BE199" t="str">
            <v>-</v>
          </cell>
          <cell r="BI199" t="str">
            <v>-</v>
          </cell>
          <cell r="BJ199" t="str">
            <v>-</v>
          </cell>
          <cell r="BK199" t="str">
            <v>-</v>
          </cell>
          <cell r="BL199" t="str">
            <v>-</v>
          </cell>
          <cell r="BO199" t="str">
            <v>-</v>
          </cell>
          <cell r="BP199" t="str">
            <v>-</v>
          </cell>
        </row>
        <row r="200">
          <cell r="BD200">
            <v>0</v>
          </cell>
          <cell r="BE200" t="str">
            <v>-</v>
          </cell>
          <cell r="BI200" t="str">
            <v>-</v>
          </cell>
          <cell r="BJ200" t="str">
            <v>-</v>
          </cell>
          <cell r="BK200" t="str">
            <v>-</v>
          </cell>
          <cell r="BL200" t="str">
            <v>-</v>
          </cell>
          <cell r="BO200" t="str">
            <v>-</v>
          </cell>
          <cell r="BP200" t="str">
            <v>-</v>
          </cell>
        </row>
        <row r="201">
          <cell r="BD201">
            <v>0</v>
          </cell>
          <cell r="BE201" t="str">
            <v>-</v>
          </cell>
          <cell r="BI201" t="str">
            <v>-</v>
          </cell>
          <cell r="BJ201" t="str">
            <v>-</v>
          </cell>
          <cell r="BK201" t="str">
            <v>-</v>
          </cell>
          <cell r="BL201" t="str">
            <v>-</v>
          </cell>
          <cell r="BO201" t="str">
            <v>-</v>
          </cell>
          <cell r="BP201" t="str">
            <v>-</v>
          </cell>
        </row>
        <row r="202">
          <cell r="BD202">
            <v>0</v>
          </cell>
          <cell r="BE202" t="str">
            <v>-</v>
          </cell>
          <cell r="BI202" t="str">
            <v>-</v>
          </cell>
          <cell r="BJ202" t="str">
            <v>-</v>
          </cell>
          <cell r="BK202" t="str">
            <v>-</v>
          </cell>
          <cell r="BL202" t="str">
            <v>-</v>
          </cell>
          <cell r="BO202" t="str">
            <v>-</v>
          </cell>
          <cell r="BP202" t="str">
            <v>-</v>
          </cell>
        </row>
        <row r="203">
          <cell r="BD203">
            <v>0</v>
          </cell>
          <cell r="BE203" t="str">
            <v>-</v>
          </cell>
          <cell r="BI203" t="str">
            <v>-</v>
          </cell>
          <cell r="BJ203" t="str">
            <v>-</v>
          </cell>
          <cell r="BK203" t="str">
            <v>-</v>
          </cell>
          <cell r="BL203" t="str">
            <v>-</v>
          </cell>
          <cell r="BO203" t="str">
            <v>-</v>
          </cell>
          <cell r="BP203" t="str">
            <v>-</v>
          </cell>
        </row>
        <row r="204">
          <cell r="BD204">
            <v>0</v>
          </cell>
          <cell r="BE204" t="str">
            <v>-</v>
          </cell>
          <cell r="BI204" t="str">
            <v>-</v>
          </cell>
          <cell r="BJ204" t="str">
            <v>-</v>
          </cell>
          <cell r="BK204" t="str">
            <v>-</v>
          </cell>
          <cell r="BL204" t="str">
            <v>-</v>
          </cell>
          <cell r="BO204" t="str">
            <v>-</v>
          </cell>
          <cell r="BP204" t="str">
            <v>-</v>
          </cell>
        </row>
        <row r="205">
          <cell r="BD205">
            <v>0</v>
          </cell>
          <cell r="BE205" t="str">
            <v>-</v>
          </cell>
          <cell r="BI205" t="str">
            <v>-</v>
          </cell>
          <cell r="BJ205" t="str">
            <v>-</v>
          </cell>
          <cell r="BK205" t="str">
            <v>-</v>
          </cell>
          <cell r="BL205" t="str">
            <v>-</v>
          </cell>
          <cell r="BO205" t="str">
            <v>-</v>
          </cell>
          <cell r="BP205" t="str">
            <v>-</v>
          </cell>
        </row>
        <row r="206">
          <cell r="BD206">
            <v>0</v>
          </cell>
          <cell r="BE206" t="str">
            <v>-</v>
          </cell>
          <cell r="BI206" t="str">
            <v>-</v>
          </cell>
          <cell r="BJ206" t="str">
            <v>-</v>
          </cell>
          <cell r="BK206" t="str">
            <v>-</v>
          </cell>
          <cell r="BL206" t="str">
            <v>-</v>
          </cell>
          <cell r="BO206" t="str">
            <v>-</v>
          </cell>
          <cell r="BP206" t="str">
            <v>-</v>
          </cell>
        </row>
        <row r="207">
          <cell r="BD207">
            <v>0</v>
          </cell>
          <cell r="BE207" t="str">
            <v>-</v>
          </cell>
          <cell r="BI207" t="str">
            <v>-</v>
          </cell>
          <cell r="BJ207" t="str">
            <v>-</v>
          </cell>
          <cell r="BK207" t="str">
            <v>-</v>
          </cell>
          <cell r="BL207" t="str">
            <v>-</v>
          </cell>
          <cell r="BO207" t="str">
            <v>-</v>
          </cell>
          <cell r="BP207" t="str">
            <v>-</v>
          </cell>
        </row>
        <row r="208">
          <cell r="BD208">
            <v>0</v>
          </cell>
          <cell r="BE208" t="str">
            <v>-</v>
          </cell>
          <cell r="BI208" t="str">
            <v>-</v>
          </cell>
          <cell r="BJ208" t="str">
            <v>-</v>
          </cell>
          <cell r="BK208" t="str">
            <v>-</v>
          </cell>
          <cell r="BL208" t="str">
            <v>-</v>
          </cell>
          <cell r="BO208" t="str">
            <v>-</v>
          </cell>
          <cell r="BP208" t="str">
            <v>-</v>
          </cell>
        </row>
        <row r="209">
          <cell r="BD209">
            <v>0</v>
          </cell>
          <cell r="BE209" t="str">
            <v>-</v>
          </cell>
          <cell r="BI209" t="str">
            <v>-</v>
          </cell>
          <cell r="BJ209" t="str">
            <v>-</v>
          </cell>
          <cell r="BK209" t="str">
            <v>-</v>
          </cell>
          <cell r="BL209" t="str">
            <v>-</v>
          </cell>
          <cell r="BO209" t="str">
            <v>-</v>
          </cell>
          <cell r="BP209" t="str">
            <v>-</v>
          </cell>
        </row>
        <row r="210">
          <cell r="BD210">
            <v>0</v>
          </cell>
          <cell r="BE210" t="str">
            <v>-</v>
          </cell>
          <cell r="BI210" t="str">
            <v>-</v>
          </cell>
          <cell r="BJ210" t="str">
            <v>-</v>
          </cell>
          <cell r="BK210" t="str">
            <v>-</v>
          </cell>
          <cell r="BL210" t="str">
            <v>-</v>
          </cell>
          <cell r="BO210" t="str">
            <v>-</v>
          </cell>
          <cell r="BP210" t="str">
            <v>-</v>
          </cell>
        </row>
        <row r="211">
          <cell r="BD211">
            <v>0</v>
          </cell>
          <cell r="BE211" t="str">
            <v>-</v>
          </cell>
          <cell r="BI211" t="str">
            <v>-</v>
          </cell>
          <cell r="BJ211" t="str">
            <v>-</v>
          </cell>
          <cell r="BK211" t="str">
            <v>-</v>
          </cell>
          <cell r="BL211" t="str">
            <v>-</v>
          </cell>
          <cell r="BO211" t="str">
            <v>-</v>
          </cell>
          <cell r="BP211" t="str">
            <v>-</v>
          </cell>
        </row>
      </sheetData>
      <sheetData sheetId="2">
        <row r="46">
          <cell r="C46">
            <v>0</v>
          </cell>
          <cell r="D46">
            <v>0</v>
          </cell>
          <cell r="E46">
            <v>0</v>
          </cell>
          <cell r="F46">
            <v>0</v>
          </cell>
          <cell r="G46">
            <v>0</v>
          </cell>
          <cell r="H46">
            <v>0</v>
          </cell>
        </row>
        <row r="49">
          <cell r="C49">
            <v>41698090</v>
          </cell>
          <cell r="D49">
            <v>21326719</v>
          </cell>
          <cell r="E49">
            <v>40929456</v>
          </cell>
          <cell r="F49">
            <v>20558085</v>
          </cell>
          <cell r="G49">
            <v>35906385</v>
          </cell>
          <cell r="H49">
            <v>15535014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5"/>
  <sheetViews>
    <sheetView topLeftCell="C1" zoomScaleNormal="100" workbookViewId="0">
      <selection activeCell="C7" sqref="C7"/>
    </sheetView>
  </sheetViews>
  <sheetFormatPr defaultRowHeight="12.75" x14ac:dyDescent="0.2"/>
  <cols>
    <col min="1" max="1" width="39.5703125" style="13" hidden="1" customWidth="1"/>
    <col min="2" max="2" width="0" style="13" hidden="1" customWidth="1"/>
    <col min="3" max="4" width="9.140625" style="13"/>
    <col min="5" max="5" width="8" style="14" customWidth="1"/>
    <col min="6" max="6" width="32.42578125" style="15" bestFit="1" customWidth="1"/>
    <col min="7" max="7" width="35.7109375" style="15" bestFit="1" customWidth="1"/>
    <col min="8" max="9" width="9.140625" style="15"/>
    <col min="10" max="10" width="33.140625" style="15" bestFit="1" customWidth="1"/>
    <col min="11" max="11" width="9.140625" style="15"/>
    <col min="12" max="12" width="100.85546875" style="15" bestFit="1" customWidth="1"/>
    <col min="13" max="16384" width="9.140625" style="13"/>
  </cols>
  <sheetData>
    <row r="1" spans="1:15" x14ac:dyDescent="0.2">
      <c r="C1" s="43" t="s">
        <v>744</v>
      </c>
      <c r="D1" s="44"/>
      <c r="E1" s="44"/>
      <c r="F1" s="44"/>
      <c r="G1" s="44"/>
    </row>
    <row r="2" spans="1:15" x14ac:dyDescent="0.2">
      <c r="C2" s="45" t="s">
        <v>739</v>
      </c>
      <c r="D2" s="46"/>
      <c r="E2" s="298" t="s">
        <v>740</v>
      </c>
      <c r="F2" s="299"/>
      <c r="G2" s="300"/>
    </row>
    <row r="3" spans="1:15" x14ac:dyDescent="0.2">
      <c r="C3" s="45" t="s">
        <v>741</v>
      </c>
      <c r="D3" s="46"/>
      <c r="E3" s="298" t="s">
        <v>745</v>
      </c>
      <c r="F3" s="299"/>
      <c r="G3" s="300"/>
    </row>
    <row r="4" spans="1:15" x14ac:dyDescent="0.2">
      <c r="C4" s="45" t="s">
        <v>742</v>
      </c>
      <c r="D4" s="46"/>
      <c r="E4" s="298" t="s">
        <v>771</v>
      </c>
      <c r="F4" s="299"/>
      <c r="G4" s="300"/>
    </row>
    <row r="5" spans="1:15" x14ac:dyDescent="0.2">
      <c r="C5" s="47" t="s">
        <v>743</v>
      </c>
      <c r="D5" s="48"/>
      <c r="E5" s="301">
        <v>44839</v>
      </c>
      <c r="F5" s="299"/>
      <c r="G5" s="300"/>
    </row>
    <row r="6" spans="1:15" ht="15" x14ac:dyDescent="0.2">
      <c r="C6" s="40"/>
      <c r="D6" s="40"/>
      <c r="E6" s="41"/>
      <c r="F6" s="42"/>
      <c r="G6" s="42"/>
    </row>
    <row r="7" spans="1:15" ht="15.75" thickBot="1" x14ac:dyDescent="0.25">
      <c r="C7" s="40"/>
      <c r="D7" s="40"/>
      <c r="E7" s="41"/>
      <c r="F7" s="42"/>
      <c r="G7" s="42"/>
    </row>
    <row r="8" spans="1:15" x14ac:dyDescent="0.2">
      <c r="E8" s="50"/>
      <c r="F8" s="51"/>
      <c r="G8" s="296" t="s">
        <v>586</v>
      </c>
      <c r="H8" s="297"/>
      <c r="J8" s="33" t="s">
        <v>590</v>
      </c>
      <c r="K8" s="51"/>
      <c r="L8" s="64"/>
    </row>
    <row r="9" spans="1:15" ht="30" customHeight="1" x14ac:dyDescent="0.2">
      <c r="A9" s="16" t="s">
        <v>523</v>
      </c>
      <c r="B9" s="17"/>
      <c r="C9" s="18"/>
      <c r="D9" s="18"/>
      <c r="E9" s="52" t="s">
        <v>522</v>
      </c>
      <c r="F9" s="19" t="s">
        <v>521</v>
      </c>
      <c r="G9" s="58" t="s">
        <v>706</v>
      </c>
      <c r="H9" s="53" t="s">
        <v>191</v>
      </c>
      <c r="I9" s="62"/>
      <c r="J9" s="65" t="s">
        <v>589</v>
      </c>
      <c r="K9" s="63" t="s">
        <v>587</v>
      </c>
      <c r="L9" s="66" t="s">
        <v>588</v>
      </c>
    </row>
    <row r="10" spans="1:15" x14ac:dyDescent="0.2">
      <c r="A10" s="13" t="s">
        <v>7</v>
      </c>
      <c r="C10" s="18"/>
      <c r="D10" s="18"/>
      <c r="E10" s="54"/>
      <c r="F10" s="21"/>
      <c r="G10" s="19"/>
      <c r="H10" s="24"/>
      <c r="J10" s="22" t="s">
        <v>733</v>
      </c>
      <c r="K10" s="23">
        <v>15</v>
      </c>
      <c r="L10" s="24" t="s">
        <v>574</v>
      </c>
      <c r="M10" s="25"/>
      <c r="N10" s="25"/>
      <c r="O10" s="25"/>
    </row>
    <row r="11" spans="1:15" x14ac:dyDescent="0.2">
      <c r="A11" s="26" t="s">
        <v>88</v>
      </c>
      <c r="C11" s="18"/>
      <c r="D11" s="18"/>
      <c r="E11" s="54"/>
      <c r="F11" s="60" t="s">
        <v>746</v>
      </c>
      <c r="G11" s="59"/>
      <c r="H11" s="24"/>
      <c r="J11" s="22" t="s">
        <v>734</v>
      </c>
      <c r="K11" s="27">
        <v>10</v>
      </c>
      <c r="L11" s="24" t="s">
        <v>575</v>
      </c>
    </row>
    <row r="12" spans="1:15" x14ac:dyDescent="0.2">
      <c r="A12" s="26"/>
      <c r="C12" s="18"/>
      <c r="D12" s="18"/>
      <c r="E12" s="54"/>
      <c r="F12" s="60" t="s">
        <v>585</v>
      </c>
      <c r="G12" s="59"/>
      <c r="H12" s="24"/>
      <c r="J12" s="22" t="s">
        <v>679</v>
      </c>
      <c r="K12" s="27">
        <v>15</v>
      </c>
      <c r="L12" s="24" t="s">
        <v>577</v>
      </c>
    </row>
    <row r="13" spans="1:15" x14ac:dyDescent="0.2">
      <c r="A13" s="26" t="s">
        <v>84</v>
      </c>
      <c r="C13" s="18"/>
      <c r="D13" s="18"/>
      <c r="E13" s="54">
        <v>1</v>
      </c>
      <c r="F13" s="60" t="s">
        <v>510</v>
      </c>
      <c r="G13" s="205">
        <f>'Uncontrolled crossing'!B4</f>
        <v>10950</v>
      </c>
      <c r="H13" s="55" t="s">
        <v>294</v>
      </c>
      <c r="J13" s="22" t="s">
        <v>735</v>
      </c>
      <c r="K13" s="29">
        <v>10</v>
      </c>
      <c r="L13" s="24" t="s">
        <v>576</v>
      </c>
    </row>
    <row r="14" spans="1:15" ht="13.5" thickBot="1" x14ac:dyDescent="0.25">
      <c r="A14" s="26" t="s">
        <v>89</v>
      </c>
      <c r="C14" s="18"/>
      <c r="D14" s="18"/>
      <c r="E14" s="54">
        <v>2</v>
      </c>
      <c r="F14" s="60" t="s">
        <v>511</v>
      </c>
      <c r="G14" s="205">
        <f>'Controlled Crossing'!B4</f>
        <v>96500</v>
      </c>
      <c r="H14" s="55" t="s">
        <v>294</v>
      </c>
      <c r="J14" s="30" t="s">
        <v>736</v>
      </c>
      <c r="K14" s="31">
        <v>8</v>
      </c>
      <c r="L14" s="32" t="s">
        <v>578</v>
      </c>
    </row>
    <row r="15" spans="1:15" x14ac:dyDescent="0.2">
      <c r="A15" s="26" t="s">
        <v>90</v>
      </c>
      <c r="C15" s="18"/>
      <c r="D15" s="18"/>
      <c r="E15" s="54">
        <v>3</v>
      </c>
      <c r="F15" s="60" t="s">
        <v>512</v>
      </c>
      <c r="G15" s="205">
        <f>'Controlled Crossing (Separated)'!B4</f>
        <v>160000</v>
      </c>
      <c r="H15" s="55" t="s">
        <v>294</v>
      </c>
    </row>
    <row r="16" spans="1:15" x14ac:dyDescent="0.2">
      <c r="A16" s="26" t="s">
        <v>85</v>
      </c>
      <c r="C16" s="18"/>
      <c r="D16" s="18"/>
      <c r="E16" s="54">
        <v>4</v>
      </c>
      <c r="F16" s="60" t="s">
        <v>513</v>
      </c>
      <c r="G16" s="205">
        <f>'Zebra Crossing'!B4</f>
        <v>28656</v>
      </c>
      <c r="H16" s="55" t="s">
        <v>294</v>
      </c>
    </row>
    <row r="17" spans="1:16" ht="13.5" thickBot="1" x14ac:dyDescent="0.25">
      <c r="A17" s="26" t="s">
        <v>86</v>
      </c>
      <c r="C17" s="18"/>
      <c r="D17" s="18"/>
      <c r="E17" s="54">
        <v>5</v>
      </c>
      <c r="F17" s="60" t="s">
        <v>514</v>
      </c>
      <c r="G17" s="205">
        <f>'Zebra Crossing (Separated)'!B4</f>
        <v>41500</v>
      </c>
      <c r="H17" s="55" t="s">
        <v>294</v>
      </c>
    </row>
    <row r="18" spans="1:16" x14ac:dyDescent="0.2">
      <c r="A18" s="26" t="s">
        <v>87</v>
      </c>
      <c r="C18" s="18"/>
      <c r="D18" s="18"/>
      <c r="E18" s="54">
        <v>6</v>
      </c>
      <c r="F18" s="60" t="s">
        <v>279</v>
      </c>
      <c r="G18" s="205">
        <f>'3m Wide Shared Path'!B4</f>
        <v>155</v>
      </c>
      <c r="H18" s="55" t="s">
        <v>295</v>
      </c>
      <c r="J18" s="33" t="s">
        <v>591</v>
      </c>
      <c r="K18" s="34" t="s">
        <v>594</v>
      </c>
      <c r="L18" s="20" t="s">
        <v>588</v>
      </c>
    </row>
    <row r="19" spans="1:16" x14ac:dyDescent="0.2">
      <c r="A19" s="26" t="s">
        <v>91</v>
      </c>
      <c r="C19" s="18"/>
      <c r="D19" s="18"/>
      <c r="E19" s="54">
        <v>7</v>
      </c>
      <c r="F19" s="60" t="s">
        <v>685</v>
      </c>
      <c r="G19" s="205">
        <f>'4.5m Wide Shared Path'!B4</f>
        <v>188</v>
      </c>
      <c r="H19" s="55" t="s">
        <v>295</v>
      </c>
      <c r="J19" s="22" t="s">
        <v>592</v>
      </c>
      <c r="K19" s="35">
        <v>0.5</v>
      </c>
      <c r="L19" s="24" t="s">
        <v>575</v>
      </c>
    </row>
    <row r="20" spans="1:16" x14ac:dyDescent="0.2">
      <c r="C20" s="18"/>
      <c r="D20" s="18"/>
      <c r="E20" s="54">
        <v>8</v>
      </c>
      <c r="F20" s="60" t="s">
        <v>280</v>
      </c>
      <c r="G20" s="205">
        <f>'5m Wide Shared Path'!B4</f>
        <v>230</v>
      </c>
      <c r="H20" s="55" t="s">
        <v>295</v>
      </c>
      <c r="J20" s="22" t="s">
        <v>593</v>
      </c>
      <c r="K20" s="35">
        <v>5</v>
      </c>
      <c r="L20" s="24" t="s">
        <v>575</v>
      </c>
    </row>
    <row r="21" spans="1:16" ht="13.5" thickBot="1" x14ac:dyDescent="0.25">
      <c r="C21" s="18"/>
      <c r="D21" s="18"/>
      <c r="E21" s="54">
        <v>9</v>
      </c>
      <c r="F21" s="60" t="s">
        <v>550</v>
      </c>
      <c r="G21" s="205">
        <f>'One-way light Seperated Tracks'!B4</f>
        <v>120</v>
      </c>
      <c r="H21" s="55" t="s">
        <v>295</v>
      </c>
      <c r="J21" s="36" t="s">
        <v>595</v>
      </c>
      <c r="K21" s="37">
        <v>0</v>
      </c>
      <c r="L21" s="32" t="s">
        <v>596</v>
      </c>
    </row>
    <row r="22" spans="1:16" x14ac:dyDescent="0.2">
      <c r="C22" s="18"/>
      <c r="D22" s="18"/>
      <c r="E22" s="54">
        <v>10</v>
      </c>
      <c r="F22" s="60" t="s">
        <v>515</v>
      </c>
      <c r="G22" s="205">
        <f>'Bi directional Kerb Separated'!B4</f>
        <v>450</v>
      </c>
      <c r="H22" s="55" t="s">
        <v>295</v>
      </c>
      <c r="M22" s="38"/>
      <c r="N22" s="38"/>
      <c r="O22" s="38"/>
      <c r="P22" s="38"/>
    </row>
    <row r="23" spans="1:16" x14ac:dyDescent="0.2">
      <c r="C23" s="18"/>
      <c r="D23" s="18"/>
      <c r="E23" s="54">
        <v>11</v>
      </c>
      <c r="F23" s="60" t="s">
        <v>516</v>
      </c>
      <c r="G23" s="205">
        <f>'One-way Kerb Separated'!B4</f>
        <v>355</v>
      </c>
      <c r="H23" s="55" t="s">
        <v>295</v>
      </c>
      <c r="I23" s="28"/>
      <c r="K23" s="39"/>
      <c r="L23" s="39"/>
      <c r="M23" s="38"/>
      <c r="N23" s="38"/>
      <c r="O23" s="38"/>
      <c r="P23" s="38"/>
    </row>
    <row r="24" spans="1:16" x14ac:dyDescent="0.2">
      <c r="C24" s="18"/>
      <c r="D24" s="18"/>
      <c r="E24" s="54">
        <v>12</v>
      </c>
      <c r="F24" s="60" t="s">
        <v>304</v>
      </c>
      <c r="G24" s="205">
        <f>'Mixed Traffic Environment'!B4</f>
        <v>295</v>
      </c>
      <c r="H24" s="55" t="s">
        <v>295</v>
      </c>
      <c r="I24" s="28"/>
      <c r="K24" s="39"/>
      <c r="L24" s="39"/>
      <c r="M24" s="38"/>
      <c r="N24" s="38"/>
      <c r="O24" s="38"/>
      <c r="P24" s="38"/>
    </row>
    <row r="25" spans="1:16" x14ac:dyDescent="0.2">
      <c r="C25" s="18"/>
      <c r="D25" s="18"/>
      <c r="E25" s="54">
        <v>13</v>
      </c>
      <c r="F25" s="60" t="s">
        <v>281</v>
      </c>
      <c r="G25" s="205">
        <f>'Trotting Strip'!B4</f>
        <v>40</v>
      </c>
      <c r="H25" s="55" t="s">
        <v>295</v>
      </c>
      <c r="I25" s="28"/>
      <c r="K25" s="39"/>
      <c r="L25" s="39"/>
      <c r="M25" s="38"/>
      <c r="N25" s="38"/>
      <c r="O25" s="38"/>
      <c r="P25" s="38"/>
    </row>
    <row r="26" spans="1:16" x14ac:dyDescent="0.2">
      <c r="C26" s="18"/>
      <c r="D26" s="18"/>
      <c r="E26" s="54">
        <v>14</v>
      </c>
      <c r="F26" s="60" t="s">
        <v>282</v>
      </c>
      <c r="G26" s="205">
        <f>Resurfacing!B4</f>
        <v>65</v>
      </c>
      <c r="H26" s="55" t="s">
        <v>738</v>
      </c>
      <c r="K26" s="39"/>
      <c r="L26" s="39"/>
      <c r="M26" s="38"/>
      <c r="N26" s="38"/>
      <c r="O26" s="38"/>
      <c r="P26" s="38"/>
    </row>
    <row r="27" spans="1:16" x14ac:dyDescent="0.2">
      <c r="C27" s="18"/>
      <c r="D27" s="18"/>
      <c r="E27" s="54">
        <v>15</v>
      </c>
      <c r="F27" s="60" t="s">
        <v>283</v>
      </c>
      <c r="G27" s="205">
        <f>Fencing!B4</f>
        <v>36</v>
      </c>
      <c r="H27" s="55" t="s">
        <v>295</v>
      </c>
      <c r="K27" s="39"/>
      <c r="L27" s="39"/>
      <c r="M27" s="38"/>
      <c r="N27" s="38"/>
      <c r="O27" s="38"/>
      <c r="P27" s="38"/>
    </row>
    <row r="28" spans="1:16" x14ac:dyDescent="0.2">
      <c r="C28" s="18"/>
      <c r="D28" s="18"/>
      <c r="E28" s="54">
        <v>16</v>
      </c>
      <c r="F28" s="60" t="s">
        <v>248</v>
      </c>
      <c r="G28" s="205">
        <f>'Modal Filter'!B4</f>
        <v>18750</v>
      </c>
      <c r="H28" s="55" t="s">
        <v>294</v>
      </c>
      <c r="K28" s="39"/>
      <c r="L28" s="39"/>
      <c r="M28" s="38"/>
      <c r="N28" s="38"/>
      <c r="O28" s="38"/>
      <c r="P28" s="38"/>
    </row>
    <row r="29" spans="1:16" x14ac:dyDescent="0.2">
      <c r="C29" s="18"/>
      <c r="D29" s="18"/>
      <c r="E29" s="54">
        <v>17</v>
      </c>
      <c r="F29" s="60" t="s">
        <v>284</v>
      </c>
      <c r="G29" s="205">
        <f>'Street Lighting'!B4</f>
        <v>64</v>
      </c>
      <c r="H29" s="55" t="s">
        <v>295</v>
      </c>
      <c r="K29" s="39"/>
      <c r="L29" s="39"/>
      <c r="M29" s="38"/>
      <c r="N29" s="38"/>
      <c r="O29" s="38"/>
      <c r="P29" s="38"/>
    </row>
    <row r="30" spans="1:16" x14ac:dyDescent="0.2">
      <c r="C30" s="18"/>
      <c r="D30" s="18"/>
      <c r="E30" s="54">
        <v>18</v>
      </c>
      <c r="F30" s="60" t="s">
        <v>517</v>
      </c>
      <c r="G30" s="205">
        <f>'Street Lighting Bollards'!B4</f>
        <v>50</v>
      </c>
      <c r="H30" s="55" t="s">
        <v>295</v>
      </c>
      <c r="K30" s="39"/>
      <c r="L30" s="39"/>
      <c r="M30" s="38"/>
      <c r="N30" s="38"/>
      <c r="O30" s="38"/>
      <c r="P30" s="38"/>
    </row>
    <row r="31" spans="1:16" x14ac:dyDescent="0.2">
      <c r="C31" s="18"/>
      <c r="D31" s="18"/>
      <c r="E31" s="54">
        <v>19</v>
      </c>
      <c r="F31" s="60" t="s">
        <v>263</v>
      </c>
      <c r="G31" s="205">
        <f>'Bus Gate'!B4</f>
        <v>105000</v>
      </c>
      <c r="H31" s="55" t="s">
        <v>294</v>
      </c>
      <c r="K31" s="39"/>
      <c r="L31" s="39"/>
      <c r="M31" s="38"/>
      <c r="N31" s="38"/>
      <c r="O31" s="38"/>
      <c r="P31" s="38"/>
    </row>
    <row r="32" spans="1:16" x14ac:dyDescent="0.2">
      <c r="C32" s="18"/>
      <c r="D32" s="18"/>
      <c r="E32" s="54">
        <v>20</v>
      </c>
      <c r="F32" s="60" t="s">
        <v>518</v>
      </c>
      <c r="G32" s="205">
        <f>'Shared Path'!B4</f>
        <v>242</v>
      </c>
      <c r="H32" s="55" t="s">
        <v>295</v>
      </c>
      <c r="K32" s="39"/>
      <c r="L32" s="39"/>
      <c r="M32" s="38"/>
      <c r="N32" s="38"/>
      <c r="O32" s="38"/>
      <c r="P32" s="38"/>
    </row>
    <row r="33" spans="3:16" x14ac:dyDescent="0.2">
      <c r="C33" s="18"/>
      <c r="D33" s="18"/>
      <c r="E33" s="54">
        <v>21</v>
      </c>
      <c r="F33" s="60" t="s">
        <v>519</v>
      </c>
      <c r="G33" s="205">
        <f>'Improve Existing Traffic Free'!B4</f>
        <v>175</v>
      </c>
      <c r="H33" s="55" t="s">
        <v>295</v>
      </c>
      <c r="K33" s="39"/>
      <c r="L33" s="39"/>
      <c r="M33" s="38"/>
      <c r="N33" s="38"/>
      <c r="O33" s="38"/>
      <c r="P33" s="38"/>
    </row>
    <row r="34" spans="3:16" x14ac:dyDescent="0.2">
      <c r="C34" s="18"/>
      <c r="D34" s="18"/>
      <c r="E34" s="54">
        <v>22</v>
      </c>
      <c r="F34" s="60" t="s">
        <v>287</v>
      </c>
      <c r="G34" s="205">
        <f>'Earthworks Ramp'!B4</f>
        <v>1525</v>
      </c>
      <c r="H34" s="55" t="s">
        <v>295</v>
      </c>
      <c r="K34" s="39"/>
      <c r="L34" s="39"/>
      <c r="M34" s="38"/>
      <c r="N34" s="38"/>
      <c r="O34" s="38"/>
      <c r="P34" s="38"/>
    </row>
    <row r="35" spans="3:16" x14ac:dyDescent="0.2">
      <c r="C35" s="18"/>
      <c r="D35" s="18"/>
      <c r="E35" s="54">
        <v>23</v>
      </c>
      <c r="F35" s="60" t="s">
        <v>520</v>
      </c>
      <c r="G35" s="205">
        <f>'3m Wide Shared Path on slope'!B4</f>
        <v>510</v>
      </c>
      <c r="H35" s="55" t="s">
        <v>295</v>
      </c>
      <c r="K35" s="39"/>
      <c r="L35" s="39"/>
      <c r="M35" s="38"/>
      <c r="N35" s="38"/>
      <c r="O35" s="38"/>
      <c r="P35" s="38"/>
    </row>
    <row r="36" spans="3:16" x14ac:dyDescent="0.2">
      <c r="C36" s="18"/>
      <c r="D36" s="18"/>
      <c r="E36" s="54">
        <v>24</v>
      </c>
      <c r="F36" s="60" t="s">
        <v>502</v>
      </c>
      <c r="G36" s="205">
        <f>'Wayfinding Signage'!B4</f>
        <v>225</v>
      </c>
      <c r="H36" s="55" t="s">
        <v>294</v>
      </c>
      <c r="K36" s="39"/>
      <c r="L36" s="39"/>
      <c r="M36" s="38"/>
      <c r="N36" s="38"/>
      <c r="O36" s="38"/>
      <c r="P36" s="38"/>
    </row>
    <row r="37" spans="3:16" x14ac:dyDescent="0.2">
      <c r="C37" s="18"/>
      <c r="D37" s="18"/>
      <c r="E37" s="54">
        <v>25</v>
      </c>
      <c r="F37" s="60" t="s">
        <v>508</v>
      </c>
      <c r="G37" s="205">
        <f>'Security (Tunnels)'!B4</f>
        <v>20000</v>
      </c>
      <c r="H37" s="55" t="s">
        <v>294</v>
      </c>
      <c r="K37" s="39"/>
      <c r="L37" s="39"/>
      <c r="M37" s="38"/>
      <c r="N37" s="38"/>
      <c r="O37" s="38"/>
      <c r="P37" s="38"/>
    </row>
    <row r="38" spans="3:16" x14ac:dyDescent="0.2">
      <c r="C38" s="18"/>
      <c r="D38" s="18"/>
      <c r="E38" s="54">
        <v>26</v>
      </c>
      <c r="F38" s="60" t="s">
        <v>533</v>
      </c>
      <c r="G38" s="205">
        <f>'Tunnel Works'!B4</f>
        <v>1766</v>
      </c>
      <c r="H38" s="55" t="s">
        <v>295</v>
      </c>
      <c r="K38" s="39"/>
      <c r="L38" s="39"/>
      <c r="M38" s="38"/>
      <c r="N38" s="38"/>
      <c r="O38" s="38"/>
      <c r="P38" s="38"/>
    </row>
    <row r="39" spans="3:16" x14ac:dyDescent="0.2">
      <c r="C39" s="18"/>
      <c r="D39" s="18"/>
      <c r="E39" s="54">
        <v>27</v>
      </c>
      <c r="F39" s="60" t="s">
        <v>538</v>
      </c>
      <c r="G39" s="205">
        <f>'4m Wide Shared Tunnel Path'!B4</f>
        <v>240</v>
      </c>
      <c r="H39" s="55" t="s">
        <v>295</v>
      </c>
      <c r="K39" s="39"/>
      <c r="L39" s="39"/>
      <c r="M39" s="38"/>
      <c r="N39" s="38"/>
      <c r="O39" s="38"/>
      <c r="P39" s="38"/>
    </row>
    <row r="40" spans="3:16" ht="13.5" thickBot="1" x14ac:dyDescent="0.25">
      <c r="E40" s="56">
        <v>28</v>
      </c>
      <c r="F40" s="61" t="s">
        <v>644</v>
      </c>
      <c r="G40" s="57" t="s">
        <v>645</v>
      </c>
      <c r="H40" s="32"/>
      <c r="K40" s="39"/>
      <c r="L40" s="39"/>
      <c r="M40" s="38"/>
      <c r="N40" s="38"/>
      <c r="O40" s="38"/>
      <c r="P40" s="38"/>
    </row>
    <row r="41" spans="3:16" x14ac:dyDescent="0.2">
      <c r="F41" s="49"/>
      <c r="K41" s="39"/>
      <c r="L41" s="39"/>
      <c r="M41" s="38"/>
      <c r="N41" s="38"/>
      <c r="O41" s="38"/>
      <c r="P41" s="38"/>
    </row>
    <row r="42" spans="3:16" x14ac:dyDescent="0.2">
      <c r="F42" s="49"/>
      <c r="K42" s="39"/>
      <c r="L42" s="39"/>
      <c r="M42" s="38"/>
      <c r="N42" s="38"/>
      <c r="O42" s="38"/>
      <c r="P42" s="38"/>
    </row>
    <row r="43" spans="3:16" x14ac:dyDescent="0.2">
      <c r="F43" s="49"/>
      <c r="K43" s="39"/>
      <c r="L43" s="39"/>
      <c r="M43" s="38"/>
      <c r="N43" s="38"/>
      <c r="O43" s="38"/>
      <c r="P43" s="38"/>
    </row>
    <row r="44" spans="3:16" x14ac:dyDescent="0.2">
      <c r="K44" s="39"/>
      <c r="L44" s="39"/>
      <c r="M44" s="38"/>
      <c r="N44" s="38"/>
      <c r="O44" s="38"/>
      <c r="P44" s="38"/>
    </row>
    <row r="45" spans="3:16" x14ac:dyDescent="0.2">
      <c r="K45" s="39"/>
      <c r="L45" s="39"/>
      <c r="M45" s="38"/>
      <c r="N45" s="38"/>
      <c r="O45" s="38"/>
      <c r="P45" s="38"/>
    </row>
  </sheetData>
  <sheetProtection algorithmName="SHA-512" hashValue="684CrVX5hcivSka1BAWMkL4m6cRrqv2ElwOGDkyFbxzxM65kJu9f9IHECMa3v60A69H5px0OQc40ingeJdOZWg==" saltValue="0+WeqnziGvlbqwInMCXtlg==" spinCount="100000" sheet="1" objects="1" scenarios="1"/>
  <mergeCells count="5">
    <mergeCell ref="G8:H8"/>
    <mergeCell ref="E2:G2"/>
    <mergeCell ref="E3:G3"/>
    <mergeCell ref="E4:G4"/>
    <mergeCell ref="E5:G5"/>
  </mergeCells>
  <hyperlinks>
    <hyperlink ref="F13" location="'Uncontrolled crossing'!A1" display="Uncontrolled crossing" xr:uid="{00000000-0004-0000-0000-000000000000}"/>
    <hyperlink ref="F14" location="'Controlled Crossing'!A1" display="Controlled Crossing" xr:uid="{00000000-0004-0000-0000-000001000000}"/>
    <hyperlink ref="F15" location="'Controlled Crossing'!A1" display="Controlled Crossing (Separated)" xr:uid="{00000000-0004-0000-0000-000002000000}"/>
    <hyperlink ref="F16" location="'Zebra Crossing'!A1" display="Zebra Crossing" xr:uid="{00000000-0004-0000-0000-000003000000}"/>
    <hyperlink ref="F17" location="'Zebra Crossing (Separated)'!A1" display="Zebra Crossing (Separated)" xr:uid="{00000000-0004-0000-0000-000004000000}"/>
    <hyperlink ref="F18" location="'3m Wide Shared Path'!A1" display="3m Wide Shared Path" xr:uid="{00000000-0004-0000-0000-000005000000}"/>
    <hyperlink ref="F19" location="'4.5m Wide Shared Path'!A1" display="4m Wide Shared Path" xr:uid="{00000000-0004-0000-0000-000006000000}"/>
    <hyperlink ref="F20" location="'5m Wide Shared Path'!A1" display="5m Wide Shared Path" xr:uid="{00000000-0004-0000-0000-000007000000}"/>
    <hyperlink ref="F21" location="'One-way light Seperated Tracks'!A1" display="One-way light Separated Tracks" xr:uid="{00000000-0004-0000-0000-000008000000}"/>
    <hyperlink ref="F22" location="'Bi directional Kerb Separated'!A1" display="Bi directional Kerb Separated" xr:uid="{00000000-0004-0000-0000-000009000000}"/>
    <hyperlink ref="F23" location="'One-way Kerb Separated'!A1" display="One-way Kerb Separated" xr:uid="{00000000-0004-0000-0000-00000A000000}"/>
    <hyperlink ref="F24" location="'Mixed Traffic Environment'!A1" display="Mixed Traffic Environment" xr:uid="{00000000-0004-0000-0000-00000B000000}"/>
    <hyperlink ref="F25" location="'Trotting Strip'!A1" display="Trotting Strip" xr:uid="{00000000-0004-0000-0000-00000C000000}"/>
    <hyperlink ref="F26" location="Resurfacing!A1" display="Resurfacing" xr:uid="{00000000-0004-0000-0000-00000D000000}"/>
    <hyperlink ref="F27" location="Fencing!A1" display="Fencing" xr:uid="{00000000-0004-0000-0000-00000E000000}"/>
    <hyperlink ref="F28" location="'Modal Filter'!A1" display="Modal Filter" xr:uid="{00000000-0004-0000-0000-00000F000000}"/>
    <hyperlink ref="F29" location="'Street Lighting'!A1" display="Street Lighting" xr:uid="{00000000-0004-0000-0000-000010000000}"/>
    <hyperlink ref="F30" location="'Street Lighting Bollards'!A1" display="Street Lighting Bollards" xr:uid="{00000000-0004-0000-0000-000011000000}"/>
    <hyperlink ref="F31" location="'Bus Gate'!A1" display="Bus Gate" xr:uid="{00000000-0004-0000-0000-000012000000}"/>
    <hyperlink ref="F32" location="'Shared Path'!A1" display="Shared Path" xr:uid="{00000000-0004-0000-0000-000013000000}"/>
    <hyperlink ref="F33" location="'Improve Existing Traffic Free'!A1" display="Improve Existing Traffic Free" xr:uid="{00000000-0004-0000-0000-000014000000}"/>
    <hyperlink ref="F34" location="'Earthworks Ramp'!A1" display="Earthworks Ramp" xr:uid="{00000000-0004-0000-0000-000015000000}"/>
    <hyperlink ref="F35" location="'3m Wide Shared Path on slope'!A1" display="3m Wide Shared Path on slope" xr:uid="{00000000-0004-0000-0000-000016000000}"/>
    <hyperlink ref="F36" location="'Wayfinding Signage'!A1" display="Wayfinding Signage" xr:uid="{00000000-0004-0000-0000-000017000000}"/>
    <hyperlink ref="F37" location="'Security (Tunnels)'!A1" display="Security (Tunnels)" xr:uid="{00000000-0004-0000-0000-000018000000}"/>
    <hyperlink ref="F38" location="'Tunnel Works'!A1" display="Tunnel Works" xr:uid="{00000000-0004-0000-0000-000019000000}"/>
    <hyperlink ref="F39" location="'4m Wide Shared Tunnel Path'!A1" display="4m Wide Shared Tunnel Path" xr:uid="{00000000-0004-0000-0000-00001A000000}"/>
    <hyperlink ref="F40" location="Maintenance!A1" display="Maintenance" xr:uid="{00000000-0004-0000-0000-00001B000000}"/>
    <hyperlink ref="F11" location="'Design Schedule'!A1" display="Design Schedule" xr:uid="{00000000-0004-0000-0000-00001C000000}"/>
    <hyperlink ref="F12" location="'Scheme Costs'!A1" display="Scheme Costs" xr:uid="{00000000-0004-0000-0000-00001D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A1:B10"/>
  <sheetViews>
    <sheetView zoomScaleNormal="100" zoomScaleSheetLayoutView="115"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732</v>
      </c>
    </row>
    <row r="4" spans="1:2" x14ac:dyDescent="0.25">
      <c r="A4" s="4" t="s">
        <v>190</v>
      </c>
      <c r="B4" s="10">
        <v>188</v>
      </c>
    </row>
    <row r="5" spans="1:2" x14ac:dyDescent="0.25">
      <c r="A5" s="4" t="s">
        <v>191</v>
      </c>
      <c r="B5" s="6" t="s">
        <v>216</v>
      </c>
    </row>
    <row r="6" spans="1:2" ht="38.25" x14ac:dyDescent="0.25">
      <c r="A6" s="4" t="s">
        <v>193</v>
      </c>
      <c r="B6" s="7" t="s">
        <v>498</v>
      </c>
    </row>
    <row r="7" spans="1:2" ht="84" customHeight="1" x14ac:dyDescent="0.25">
      <c r="A7" s="4" t="s">
        <v>195</v>
      </c>
      <c r="B7" s="8" t="s">
        <v>217</v>
      </c>
    </row>
    <row r="8" spans="1:2" ht="63.75" x14ac:dyDescent="0.25">
      <c r="A8" s="4" t="s">
        <v>197</v>
      </c>
      <c r="B8" s="8" t="s">
        <v>497</v>
      </c>
    </row>
    <row r="9" spans="1:2" ht="58.5" customHeight="1" x14ac:dyDescent="0.25">
      <c r="A9" s="4" t="s">
        <v>199</v>
      </c>
      <c r="B9" s="7" t="s">
        <v>221</v>
      </c>
    </row>
    <row r="10" spans="1:2" ht="76.5" x14ac:dyDescent="0.25">
      <c r="A10" s="9" t="s">
        <v>201</v>
      </c>
      <c r="B10" s="7" t="s">
        <v>220</v>
      </c>
    </row>
  </sheetData>
  <sheetProtection algorithmName="SHA-512" hashValue="JAMH44K6nddhpUU5CVMQUIGXSDS479oflaJr5iPN89CjZT+JGiJ8RTTIoGJKzh3oCvPSFXRqgKJvlT8k74DWXw==" saltValue="1LmErQeVrFSs4w/zsZYh3Q==" spinCount="100000" sheet="1" objects="1" scenarios="1"/>
  <pageMargins left="0.7" right="0.7" top="0.75" bottom="0.75" header="0.3" footer="0.3"/>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A1:B10"/>
  <sheetViews>
    <sheetView zoomScaleNormal="100" zoomScaleSheetLayoutView="115"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222</v>
      </c>
    </row>
    <row r="4" spans="1:2" x14ac:dyDescent="0.25">
      <c r="A4" s="4" t="s">
        <v>190</v>
      </c>
      <c r="B4" s="10">
        <v>230</v>
      </c>
    </row>
    <row r="5" spans="1:2" x14ac:dyDescent="0.25">
      <c r="A5" s="4" t="s">
        <v>191</v>
      </c>
      <c r="B5" s="6" t="s">
        <v>216</v>
      </c>
    </row>
    <row r="6" spans="1:2" ht="38.25" x14ac:dyDescent="0.25">
      <c r="A6" s="4" t="s">
        <v>193</v>
      </c>
      <c r="B6" s="7" t="s">
        <v>498</v>
      </c>
    </row>
    <row r="7" spans="1:2" ht="76.5" x14ac:dyDescent="0.25">
      <c r="A7" s="4" t="s">
        <v>195</v>
      </c>
      <c r="B7" s="8" t="s">
        <v>217</v>
      </c>
    </row>
    <row r="8" spans="1:2" ht="63.75" x14ac:dyDescent="0.25">
      <c r="A8" s="4" t="s">
        <v>197</v>
      </c>
      <c r="B8" s="8" t="s">
        <v>497</v>
      </c>
    </row>
    <row r="9" spans="1:2" ht="25.5" x14ac:dyDescent="0.25">
      <c r="A9" s="4" t="s">
        <v>199</v>
      </c>
      <c r="B9" s="7" t="s">
        <v>223</v>
      </c>
    </row>
    <row r="10" spans="1:2" ht="76.5" x14ac:dyDescent="0.25">
      <c r="A10" s="9" t="s">
        <v>201</v>
      </c>
      <c r="B10" s="7" t="s">
        <v>220</v>
      </c>
    </row>
  </sheetData>
  <sheetProtection algorithmName="SHA-512" hashValue="i/aiTtIRfU1CnXPnt+9WVx5hUl9DOe2xmr1ipXjN9ghH9dMhzzyiAv5r2JVHivuVFL/qenFlVIiafm0/dVY4Og==" saltValue="ZWqEd6wDlruqvjovM2J3Sg==" spinCount="100000" sheet="1" objects="1" scenarios="1"/>
  <pageMargins left="0.7" right="0.7" top="0.75" bottom="0.75"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sheetPr>
  <dimension ref="A1:B10"/>
  <sheetViews>
    <sheetView zoomScaleNormal="100" zoomScaleSheetLayoutView="115"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224</v>
      </c>
    </row>
    <row r="4" spans="1:2" x14ac:dyDescent="0.25">
      <c r="A4" s="4" t="s">
        <v>190</v>
      </c>
      <c r="B4" s="10">
        <v>120</v>
      </c>
    </row>
    <row r="5" spans="1:2" x14ac:dyDescent="0.25">
      <c r="A5" s="4" t="s">
        <v>191</v>
      </c>
      <c r="B5" s="6" t="s">
        <v>216</v>
      </c>
    </row>
    <row r="6" spans="1:2" x14ac:dyDescent="0.25">
      <c r="A6" s="4" t="s">
        <v>193</v>
      </c>
      <c r="B6" s="7" t="s">
        <v>225</v>
      </c>
    </row>
    <row r="7" spans="1:2" ht="63.75" x14ac:dyDescent="0.25">
      <c r="A7" s="4" t="s">
        <v>195</v>
      </c>
      <c r="B7" s="8" t="s">
        <v>226</v>
      </c>
    </row>
    <row r="8" spans="1:2" ht="51" x14ac:dyDescent="0.25">
      <c r="A8" s="4" t="s">
        <v>197</v>
      </c>
      <c r="B8" s="8" t="s">
        <v>227</v>
      </c>
    </row>
    <row r="9" spans="1:2" x14ac:dyDescent="0.25">
      <c r="A9" s="4" t="s">
        <v>199</v>
      </c>
      <c r="B9" s="7" t="s">
        <v>228</v>
      </c>
    </row>
    <row r="10" spans="1:2" ht="25.5" x14ac:dyDescent="0.25">
      <c r="A10" s="9" t="s">
        <v>201</v>
      </c>
      <c r="B10" s="7" t="s">
        <v>440</v>
      </c>
    </row>
  </sheetData>
  <sheetProtection algorithmName="SHA-512" hashValue="iXl/hIHI7WZdj51TIBS1vOy56INcQvMgBjPhMeR7hpt85EsJZAfC05i5U5/5A5MEKCpeqCwVM3n/ydjYtj6/Fg==" saltValue="hbQYOOGaD50fpipOH/qrEw==" spinCount="100000" sheet="1" objects="1" scenarios="1"/>
  <pageMargins left="0.7" right="0.7" top="0.75" bottom="0.75" header="0.3" footer="0.3"/>
  <pageSetup paperSize="9" scale="8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8168889431442"/>
  </sheetPr>
  <dimension ref="A1:B10"/>
  <sheetViews>
    <sheetView zoomScaleNormal="100" zoomScaleSheetLayoutView="130"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747</v>
      </c>
    </row>
    <row r="4" spans="1:2" x14ac:dyDescent="0.25">
      <c r="A4" s="4" t="s">
        <v>190</v>
      </c>
      <c r="B4" s="10">
        <v>450</v>
      </c>
    </row>
    <row r="5" spans="1:2" x14ac:dyDescent="0.25">
      <c r="A5" s="4" t="s">
        <v>191</v>
      </c>
      <c r="B5" s="6" t="s">
        <v>216</v>
      </c>
    </row>
    <row r="6" spans="1:2" x14ac:dyDescent="0.25">
      <c r="A6" s="4" t="s">
        <v>193</v>
      </c>
      <c r="B6" s="7" t="s">
        <v>439</v>
      </c>
    </row>
    <row r="7" spans="1:2" ht="25.5" x14ac:dyDescent="0.25">
      <c r="A7" s="4" t="s">
        <v>195</v>
      </c>
      <c r="B7" s="8" t="s">
        <v>443</v>
      </c>
    </row>
    <row r="8" spans="1:2" ht="63.75" x14ac:dyDescent="0.25">
      <c r="A8" s="4" t="s">
        <v>197</v>
      </c>
      <c r="B8" s="8" t="s">
        <v>444</v>
      </c>
    </row>
    <row r="9" spans="1:2" x14ac:dyDescent="0.25">
      <c r="A9" s="4" t="s">
        <v>199</v>
      </c>
      <c r="B9" s="7" t="s">
        <v>228</v>
      </c>
    </row>
    <row r="10" spans="1:2" ht="25.5" x14ac:dyDescent="0.25">
      <c r="A10" s="9" t="s">
        <v>201</v>
      </c>
      <c r="B10" s="7" t="s">
        <v>441</v>
      </c>
    </row>
  </sheetData>
  <sheetProtection algorithmName="SHA-512" hashValue="1X2NgXeqXbsr6gz5aEnzyiLR/4301P4Mmv/so0iJn1SuTNs/G2sQCsAp/t73vT7nMbFA+Phjt7mCc1MMJgI/5Q==" saltValue="XlxfGuYOpJsfZVErvXPYwA==" spinCount="100000" sheet="1" objects="1" scenarios="1"/>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sheetPr>
  <dimension ref="A1:B10"/>
  <sheetViews>
    <sheetView zoomScaleNormal="100" zoomScaleSheetLayoutView="130"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442</v>
      </c>
    </row>
    <row r="4" spans="1:2" x14ac:dyDescent="0.25">
      <c r="A4" s="4" t="s">
        <v>190</v>
      </c>
      <c r="B4" s="10">
        <v>355</v>
      </c>
    </row>
    <row r="5" spans="1:2" x14ac:dyDescent="0.25">
      <c r="A5" s="4" t="s">
        <v>191</v>
      </c>
      <c r="B5" s="6" t="s">
        <v>216</v>
      </c>
    </row>
    <row r="6" spans="1:2" x14ac:dyDescent="0.25">
      <c r="A6" s="4" t="s">
        <v>193</v>
      </c>
      <c r="B6" s="7" t="s">
        <v>616</v>
      </c>
    </row>
    <row r="7" spans="1:2" ht="25.5" x14ac:dyDescent="0.25">
      <c r="A7" s="4" t="s">
        <v>195</v>
      </c>
      <c r="B7" s="8" t="s">
        <v>443</v>
      </c>
    </row>
    <row r="8" spans="1:2" ht="63.75" x14ac:dyDescent="0.25">
      <c r="A8" s="4" t="s">
        <v>197</v>
      </c>
      <c r="B8" s="8" t="s">
        <v>444</v>
      </c>
    </row>
    <row r="9" spans="1:2" x14ac:dyDescent="0.25">
      <c r="A9" s="4" t="s">
        <v>199</v>
      </c>
      <c r="B9" s="7" t="s">
        <v>228</v>
      </c>
    </row>
    <row r="10" spans="1:2" ht="25.5" x14ac:dyDescent="0.25">
      <c r="A10" s="9" t="s">
        <v>201</v>
      </c>
      <c r="B10" s="7" t="s">
        <v>441</v>
      </c>
    </row>
  </sheetData>
  <sheetProtection algorithmName="SHA-512" hashValue="bNRc2fqUL98jtIpDE8PzEd73J9fXM2za2TQEGSOvaaJvnGQ6J0KP+PujBC3S2vVUnmByJKnEyp2zYkUbJFdo9A==" saltValue="SHemmjcSSs4IrBq5oLa8AQ==" spinCount="100000" sheet="1" objects="1" scenarios="1"/>
  <pageMargins left="0.7" right="0.7" top="0.75" bottom="0.75" header="0.3" footer="0.3"/>
  <pageSetup paperSize="9" scale="8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sheetPr>
  <dimension ref="A1:B10"/>
  <sheetViews>
    <sheetView topLeftCell="A2" zoomScaleNormal="100" zoomScaleSheetLayoutView="130"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445</v>
      </c>
    </row>
    <row r="4" spans="1:2" x14ac:dyDescent="0.25">
      <c r="A4" s="4" t="s">
        <v>190</v>
      </c>
      <c r="B4" s="10">
        <v>295</v>
      </c>
    </row>
    <row r="5" spans="1:2" x14ac:dyDescent="0.25">
      <c r="A5" s="4" t="s">
        <v>191</v>
      </c>
      <c r="B5" s="6" t="s">
        <v>216</v>
      </c>
    </row>
    <row r="6" spans="1:2" x14ac:dyDescent="0.25">
      <c r="A6" s="4" t="s">
        <v>193</v>
      </c>
      <c r="B6" s="7" t="s">
        <v>615</v>
      </c>
    </row>
    <row r="7" spans="1:2" ht="83.25" customHeight="1" x14ac:dyDescent="0.25">
      <c r="A7" s="4" t="s">
        <v>195</v>
      </c>
      <c r="B7" s="8" t="s">
        <v>614</v>
      </c>
    </row>
    <row r="8" spans="1:2" ht="25.5" x14ac:dyDescent="0.25">
      <c r="A8" s="4" t="s">
        <v>197</v>
      </c>
      <c r="B8" s="8" t="s">
        <v>447</v>
      </c>
    </row>
    <row r="9" spans="1:2" ht="33.75" customHeight="1" x14ac:dyDescent="0.25">
      <c r="A9" s="4" t="s">
        <v>199</v>
      </c>
      <c r="B9" s="7" t="s">
        <v>448</v>
      </c>
    </row>
    <row r="10" spans="1:2" ht="57" customHeight="1" x14ac:dyDescent="0.25">
      <c r="A10" s="9" t="s">
        <v>201</v>
      </c>
      <c r="B10" s="7" t="s">
        <v>446</v>
      </c>
    </row>
  </sheetData>
  <sheetProtection algorithmName="SHA-512" hashValue="qNqVrwReavcgGf+w6MM4auMJbgtVDpVSej7AHEEBvMclv1zYC7bx2IeFcc326BE5hltZU2CZXfUfA/cc/w6Mjg==" saltValue="ftQbCyzohYbzgpw2aHdDsQ==" spinCount="100000" sheet="1" objects="1" scenarios="1"/>
  <pageMargins left="0.7" right="0.7" top="0.75" bottom="0.75" header="0.3" footer="0.3"/>
  <pageSetup paperSize="9" scale="8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sheetPr>
  <dimension ref="A1:B10"/>
  <sheetViews>
    <sheetView topLeftCell="A4" zoomScaleNormal="100" zoomScaleSheetLayoutView="115"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229</v>
      </c>
    </row>
    <row r="4" spans="1:2" x14ac:dyDescent="0.25">
      <c r="A4" s="4" t="s">
        <v>190</v>
      </c>
      <c r="B4" s="10">
        <v>40</v>
      </c>
    </row>
    <row r="5" spans="1:2" x14ac:dyDescent="0.25">
      <c r="A5" s="4" t="s">
        <v>191</v>
      </c>
      <c r="B5" s="6" t="s">
        <v>216</v>
      </c>
    </row>
    <row r="6" spans="1:2" ht="38.25" x14ac:dyDescent="0.25">
      <c r="A6" s="4" t="s">
        <v>193</v>
      </c>
      <c r="B6" s="7" t="s">
        <v>230</v>
      </c>
    </row>
    <row r="7" spans="1:2" ht="51" x14ac:dyDescent="0.25">
      <c r="A7" s="4" t="s">
        <v>195</v>
      </c>
      <c r="B7" s="8" t="s">
        <v>231</v>
      </c>
    </row>
    <row r="8" spans="1:2" ht="76.5" x14ac:dyDescent="0.25">
      <c r="A8" s="4" t="s">
        <v>197</v>
      </c>
      <c r="B8" s="8" t="s">
        <v>232</v>
      </c>
    </row>
    <row r="9" spans="1:2" ht="51" x14ac:dyDescent="0.25">
      <c r="A9" s="4" t="s">
        <v>199</v>
      </c>
      <c r="B9" s="7" t="s">
        <v>233</v>
      </c>
    </row>
    <row r="10" spans="1:2" ht="38.25" x14ac:dyDescent="0.25">
      <c r="A10" s="9" t="s">
        <v>201</v>
      </c>
      <c r="B10" s="7" t="s">
        <v>234</v>
      </c>
    </row>
  </sheetData>
  <sheetProtection algorithmName="SHA-512" hashValue="vmW8TASYdMnpkA2w1EA7IZAtquW56AoYxm6L2bmn8akdtshiJX7vfaj9kkFhAPwExaCIqDoAr0Tw8O3TSmcQLg==" saltValue="bkYKoI7bzalrHOLlPIuZQg==" spinCount="100000" sheet="1" objects="1" scenarios="1"/>
  <pageMargins left="0.7" right="0.7" top="0.75" bottom="0.75" header="0.3" footer="0.3"/>
  <pageSetup paperSize="9" scale="8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sheetPr>
  <dimension ref="A1:B10"/>
  <sheetViews>
    <sheetView zoomScaleNormal="100" zoomScaleSheetLayoutView="115"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235</v>
      </c>
    </row>
    <row r="4" spans="1:2" x14ac:dyDescent="0.25">
      <c r="A4" s="4" t="s">
        <v>190</v>
      </c>
      <c r="B4" s="10">
        <v>65</v>
      </c>
    </row>
    <row r="5" spans="1:2" x14ac:dyDescent="0.25">
      <c r="A5" s="4" t="s">
        <v>191</v>
      </c>
      <c r="B5" s="6" t="s">
        <v>236</v>
      </c>
    </row>
    <row r="6" spans="1:2" ht="38.25" x14ac:dyDescent="0.25">
      <c r="A6" s="4" t="s">
        <v>193</v>
      </c>
      <c r="B6" s="7" t="s">
        <v>237</v>
      </c>
    </row>
    <row r="7" spans="1:2" ht="38.25" x14ac:dyDescent="0.25">
      <c r="A7" s="4" t="s">
        <v>195</v>
      </c>
      <c r="B7" s="8" t="s">
        <v>238</v>
      </c>
    </row>
    <row r="8" spans="1:2" ht="63.75" x14ac:dyDescent="0.25">
      <c r="A8" s="4" t="s">
        <v>197</v>
      </c>
      <c r="B8" s="8" t="s">
        <v>239</v>
      </c>
    </row>
    <row r="9" spans="1:2" ht="25.5" x14ac:dyDescent="0.25">
      <c r="A9" s="4" t="s">
        <v>199</v>
      </c>
      <c r="B9" s="7" t="s">
        <v>240</v>
      </c>
    </row>
    <row r="10" spans="1:2" ht="25.5" x14ac:dyDescent="0.25">
      <c r="A10" s="9" t="s">
        <v>201</v>
      </c>
      <c r="B10" s="7" t="s">
        <v>241</v>
      </c>
    </row>
  </sheetData>
  <sheetProtection algorithmName="SHA-512" hashValue="pjfnRoQeyHLekx1m/aKINcorYTtlTyurFVTPkOrgo//1qlKTXhf77IqL5Orfskpqd49G4Dd6+sGH0Tv0trglLA==" saltValue="siNChll2iWeVrpjJRJhSHg==" spinCount="100000" sheet="1" objects="1" scenarios="1"/>
  <pageMargins left="0.7" right="0.7" top="0.75" bottom="0.75" header="0.3" footer="0.3"/>
  <pageSetup paperSize="9" scale="8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sheetPr>
  <dimension ref="A1:B10"/>
  <sheetViews>
    <sheetView zoomScaleNormal="100" zoomScaleSheetLayoutView="115"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242</v>
      </c>
    </row>
    <row r="4" spans="1:2" x14ac:dyDescent="0.25">
      <c r="A4" s="4" t="s">
        <v>190</v>
      </c>
      <c r="B4" s="10">
        <v>36</v>
      </c>
    </row>
    <row r="5" spans="1:2" x14ac:dyDescent="0.25">
      <c r="A5" s="4" t="s">
        <v>191</v>
      </c>
      <c r="B5" s="6" t="s">
        <v>216</v>
      </c>
    </row>
    <row r="6" spans="1:2" ht="25.5" x14ac:dyDescent="0.25">
      <c r="A6" s="4" t="s">
        <v>193</v>
      </c>
      <c r="B6" s="7" t="s">
        <v>243</v>
      </c>
    </row>
    <row r="7" spans="1:2" ht="63.75" x14ac:dyDescent="0.25">
      <c r="A7" s="4" t="s">
        <v>195</v>
      </c>
      <c r="B7" s="8" t="s">
        <v>244</v>
      </c>
    </row>
    <row r="8" spans="1:2" x14ac:dyDescent="0.25">
      <c r="A8" s="4" t="s">
        <v>197</v>
      </c>
      <c r="B8" s="8" t="s">
        <v>245</v>
      </c>
    </row>
    <row r="9" spans="1:2" ht="51" x14ac:dyDescent="0.25">
      <c r="A9" s="4" t="s">
        <v>199</v>
      </c>
      <c r="B9" s="7" t="s">
        <v>246</v>
      </c>
    </row>
    <row r="10" spans="1:2" x14ac:dyDescent="0.25">
      <c r="A10" s="9" t="s">
        <v>201</v>
      </c>
      <c r="B10" s="7" t="s">
        <v>247</v>
      </c>
    </row>
  </sheetData>
  <sheetProtection algorithmName="SHA-512" hashValue="mw6Jtedah9L6GTnXvv0dYDCvOb9Orj5uJ1lJTdA5zQgEgf+Phy4Xz+aBNgrPHexkEtihM3PYo36GmoVhuF4nqQ==" saltValue="EG0rqvPz5yg/cCXHZSas8w==" spinCount="100000" sheet="1" objects="1" scenarios="1"/>
  <pageMargins left="0.7" right="0.7" top="0.75" bottom="0.75" header="0.3" footer="0.3"/>
  <pageSetup paperSize="9" scale="8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sheetPr>
  <dimension ref="A1:B10"/>
  <sheetViews>
    <sheetView zoomScaleNormal="100" zoomScaleSheetLayoutView="115"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248</v>
      </c>
    </row>
    <row r="4" spans="1:2" x14ac:dyDescent="0.25">
      <c r="A4" s="4" t="s">
        <v>190</v>
      </c>
      <c r="B4" s="10">
        <v>18750</v>
      </c>
    </row>
    <row r="5" spans="1:2" x14ac:dyDescent="0.25">
      <c r="A5" s="4" t="s">
        <v>191</v>
      </c>
      <c r="B5" s="6" t="s">
        <v>192</v>
      </c>
    </row>
    <row r="6" spans="1:2" ht="38.25" x14ac:dyDescent="0.25">
      <c r="A6" s="4" t="s">
        <v>193</v>
      </c>
      <c r="B6" s="7" t="s">
        <v>249</v>
      </c>
    </row>
    <row r="7" spans="1:2" ht="25.5" x14ac:dyDescent="0.25">
      <c r="A7" s="4" t="s">
        <v>195</v>
      </c>
      <c r="B7" s="8" t="s">
        <v>250</v>
      </c>
    </row>
    <row r="8" spans="1:2" ht="51" x14ac:dyDescent="0.25">
      <c r="A8" s="4" t="s">
        <v>197</v>
      </c>
      <c r="B8" s="8" t="s">
        <v>251</v>
      </c>
    </row>
    <row r="9" spans="1:2" ht="51" x14ac:dyDescent="0.25">
      <c r="A9" s="4" t="s">
        <v>199</v>
      </c>
      <c r="B9" s="7" t="s">
        <v>252</v>
      </c>
    </row>
    <row r="10" spans="1:2" ht="38.25" x14ac:dyDescent="0.25">
      <c r="A10" s="9" t="s">
        <v>201</v>
      </c>
      <c r="B10" s="7" t="s">
        <v>253</v>
      </c>
    </row>
  </sheetData>
  <sheetProtection algorithmName="SHA-512" hashValue="HAaUxLJYIz3DtY42T46hy7Nv4zuHpOum/R5CBuIZAT9kKarL1b3HWktLHqdeIYoIoaEDYPYHbtkN4lBOlTDOPQ==" saltValue="R5xNH8sAumiq/ttEVzRA3Q==" spinCount="100000" sheet="1" objects="1" scenarios="1"/>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Q212"/>
  <sheetViews>
    <sheetView zoomScale="70" zoomScaleNormal="70" zoomScaleSheetLayoutView="55" workbookViewId="0">
      <pane xSplit="9" ySplit="3" topLeftCell="J4" activePane="bottomRight" state="frozen"/>
      <selection pane="topRight" activeCell="J1" sqref="J1"/>
      <selection pane="bottomLeft" activeCell="A4" sqref="A4"/>
      <selection pane="bottomRight" activeCell="BP1" sqref="BP1"/>
    </sheetView>
  </sheetViews>
  <sheetFormatPr defaultColWidth="0" defaultRowHeight="15" zeroHeight="1" x14ac:dyDescent="0.25"/>
  <cols>
    <col min="1" max="1" width="30.5703125" style="67" customWidth="1"/>
    <col min="2" max="2" width="21.28515625" style="68" hidden="1" customWidth="1"/>
    <col min="3" max="3" width="6.85546875" style="69" bestFit="1" customWidth="1"/>
    <col min="4" max="4" width="7.28515625" style="69" bestFit="1" customWidth="1"/>
    <col min="5" max="5" width="7.42578125" style="69" customWidth="1"/>
    <col min="6" max="6" width="4.85546875" style="69" bestFit="1" customWidth="1"/>
    <col min="7" max="7" width="7.140625" style="69" bestFit="1" customWidth="1"/>
    <col min="8" max="8" width="3.5703125" style="69" bestFit="1" customWidth="1"/>
    <col min="9" max="9" width="20.7109375" style="70" hidden="1" customWidth="1"/>
    <col min="10" max="10" width="91.42578125" style="70" customWidth="1"/>
    <col min="11" max="11" width="36" style="71" customWidth="1"/>
    <col min="12" max="12" width="6.85546875" style="72" customWidth="1"/>
    <col min="13" max="20" width="3.7109375" style="73" customWidth="1"/>
    <col min="21" max="21" width="113.42578125" style="70" customWidth="1"/>
    <col min="22" max="22" width="3.5703125" style="74" customWidth="1"/>
    <col min="23" max="23" width="3.7109375" style="74" customWidth="1"/>
    <col min="24" max="24" width="6.7109375" style="74" customWidth="1"/>
    <col min="25" max="25" width="3.7109375" style="74" customWidth="1"/>
    <col min="26" max="26" width="6.5703125" style="74" customWidth="1"/>
    <col min="27" max="29" width="3.7109375" style="74" customWidth="1"/>
    <col min="30" max="33" width="5.5703125" style="74" customWidth="1"/>
    <col min="34" max="41" width="3.7109375" style="74" customWidth="1"/>
    <col min="42" max="42" width="6.7109375" style="74" customWidth="1"/>
    <col min="43" max="43" width="3.7109375" style="74" customWidth="1"/>
    <col min="44" max="44" width="6.28515625" style="74" bestFit="1" customWidth="1"/>
    <col min="45" max="53" width="3.7109375" style="74" customWidth="1"/>
    <col min="54" max="54" width="13.42578125" style="204" customWidth="1"/>
    <col min="55" max="55" width="16.85546875" style="75" customWidth="1"/>
    <col min="56" max="57" width="15.42578125" style="75" customWidth="1"/>
    <col min="58" max="58" width="59.7109375" style="70" customWidth="1"/>
    <col min="59" max="59" width="6.28515625" style="76" bestFit="1" customWidth="1"/>
    <col min="60" max="60" width="3.7109375" style="76" customWidth="1"/>
    <col min="61" max="61" width="10.140625" style="74" bestFit="1" customWidth="1"/>
    <col min="62" max="62" width="9" style="74" customWidth="1"/>
    <col min="63" max="63" width="10.140625" style="74" customWidth="1"/>
    <col min="64" max="64" width="9" style="74" customWidth="1"/>
    <col min="65" max="66" width="3.85546875" style="74" bestFit="1" customWidth="1"/>
    <col min="67" max="67" width="15" style="74" customWidth="1"/>
    <col min="68" max="68" width="13.85546875" style="74" bestFit="1" customWidth="1"/>
    <col min="69" max="69" width="0" style="70" hidden="1" customWidth="1"/>
    <col min="70" max="16384" width="9.140625" style="70" hidden="1"/>
  </cols>
  <sheetData>
    <row r="1" spans="1:68" x14ac:dyDescent="0.25">
      <c r="BB1" s="75"/>
      <c r="BI1" s="75"/>
      <c r="BJ1" s="75"/>
      <c r="BK1" s="75"/>
      <c r="BL1" s="75"/>
    </row>
    <row r="2" spans="1:68" ht="30" customHeight="1" x14ac:dyDescent="0.25">
      <c r="A2" s="77"/>
      <c r="B2" s="78"/>
      <c r="C2" s="362" t="s">
        <v>8</v>
      </c>
      <c r="D2" s="363"/>
      <c r="E2" s="363"/>
      <c r="F2" s="79"/>
      <c r="G2" s="79"/>
      <c r="H2" s="79"/>
      <c r="I2" s="75"/>
      <c r="J2" s="75"/>
      <c r="K2" s="80"/>
      <c r="L2" s="81"/>
      <c r="M2" s="342" t="s">
        <v>569</v>
      </c>
      <c r="N2" s="342"/>
      <c r="O2" s="342"/>
      <c r="P2" s="342"/>
      <c r="Q2" s="342"/>
      <c r="R2" s="342"/>
      <c r="S2" s="342"/>
      <c r="T2" s="343"/>
      <c r="U2" s="82"/>
      <c r="V2" s="344" t="s">
        <v>566</v>
      </c>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345"/>
      <c r="AV2" s="345"/>
      <c r="AW2" s="345"/>
      <c r="AX2" s="345"/>
      <c r="AY2" s="345"/>
      <c r="AZ2" s="345"/>
      <c r="BA2" s="345"/>
      <c r="BB2" s="345"/>
      <c r="BC2" s="345"/>
      <c r="BD2" s="346"/>
      <c r="BE2" s="83"/>
      <c r="BF2" s="75"/>
      <c r="BG2" s="84"/>
      <c r="BH2" s="84"/>
      <c r="BI2" s="372" t="s">
        <v>675</v>
      </c>
      <c r="BJ2" s="372"/>
      <c r="BK2" s="372" t="s">
        <v>676</v>
      </c>
      <c r="BL2" s="372"/>
      <c r="BM2" s="85"/>
      <c r="BN2" s="85"/>
      <c r="BO2" s="85"/>
      <c r="BP2" s="86"/>
    </row>
    <row r="3" spans="1:68" s="93" customFormat="1" ht="166.5" customHeight="1" x14ac:dyDescent="0.25">
      <c r="A3" s="77" t="s">
        <v>4</v>
      </c>
      <c r="B3" s="78" t="s">
        <v>5</v>
      </c>
      <c r="C3" s="87" t="s">
        <v>1</v>
      </c>
      <c r="D3" s="87" t="s">
        <v>2</v>
      </c>
      <c r="E3" s="87" t="s">
        <v>3</v>
      </c>
      <c r="F3" s="87" t="s">
        <v>183</v>
      </c>
      <c r="G3" s="87" t="s">
        <v>293</v>
      </c>
      <c r="H3" s="87" t="s">
        <v>191</v>
      </c>
      <c r="I3" s="78" t="s">
        <v>9</v>
      </c>
      <c r="J3" s="78" t="s">
        <v>0</v>
      </c>
      <c r="K3" s="80" t="s">
        <v>333</v>
      </c>
      <c r="L3" s="87" t="s">
        <v>704</v>
      </c>
      <c r="M3" s="87" t="s">
        <v>10</v>
      </c>
      <c r="N3" s="87" t="s">
        <v>6</v>
      </c>
      <c r="O3" s="87" t="s">
        <v>11</v>
      </c>
      <c r="P3" s="87" t="s">
        <v>12</v>
      </c>
      <c r="Q3" s="87" t="s">
        <v>14</v>
      </c>
      <c r="R3" s="87" t="s">
        <v>16</v>
      </c>
      <c r="S3" s="87" t="s">
        <v>13</v>
      </c>
      <c r="T3" s="88" t="s">
        <v>92</v>
      </c>
      <c r="U3" s="78" t="s">
        <v>93</v>
      </c>
      <c r="V3" s="87" t="s">
        <v>313</v>
      </c>
      <c r="W3" s="87" t="s">
        <v>275</v>
      </c>
      <c r="X3" s="87" t="s">
        <v>276</v>
      </c>
      <c r="Y3" s="87" t="s">
        <v>277</v>
      </c>
      <c r="Z3" s="87" t="s">
        <v>278</v>
      </c>
      <c r="AA3" s="87" t="s">
        <v>279</v>
      </c>
      <c r="AB3" s="87" t="s">
        <v>685</v>
      </c>
      <c r="AC3" s="87" t="s">
        <v>280</v>
      </c>
      <c r="AD3" s="87" t="s">
        <v>301</v>
      </c>
      <c r="AE3" s="87" t="s">
        <v>422</v>
      </c>
      <c r="AF3" s="87" t="s">
        <v>303</v>
      </c>
      <c r="AG3" s="87" t="s">
        <v>304</v>
      </c>
      <c r="AH3" s="87" t="s">
        <v>281</v>
      </c>
      <c r="AI3" s="87" t="s">
        <v>282</v>
      </c>
      <c r="AJ3" s="87" t="s">
        <v>283</v>
      </c>
      <c r="AK3" s="87" t="s">
        <v>248</v>
      </c>
      <c r="AL3" s="87" t="s">
        <v>284</v>
      </c>
      <c r="AM3" s="87" t="s">
        <v>285</v>
      </c>
      <c r="AN3" s="87" t="s">
        <v>286</v>
      </c>
      <c r="AO3" s="87" t="s">
        <v>298</v>
      </c>
      <c r="AP3" s="87" t="s">
        <v>326</v>
      </c>
      <c r="AQ3" s="87" t="s">
        <v>287</v>
      </c>
      <c r="AR3" s="87" t="s">
        <v>477</v>
      </c>
      <c r="AS3" s="87" t="s">
        <v>502</v>
      </c>
      <c r="AT3" s="87" t="s">
        <v>508</v>
      </c>
      <c r="AU3" s="87" t="s">
        <v>533</v>
      </c>
      <c r="AV3" s="87" t="s">
        <v>686</v>
      </c>
      <c r="AW3" s="87" t="s">
        <v>484</v>
      </c>
      <c r="AX3" s="87" t="s">
        <v>357</v>
      </c>
      <c r="AY3" s="87" t="s">
        <v>302</v>
      </c>
      <c r="AZ3" s="87" t="s">
        <v>654</v>
      </c>
      <c r="BA3" s="87" t="s">
        <v>661</v>
      </c>
      <c r="BB3" s="89" t="s">
        <v>524</v>
      </c>
      <c r="BC3" s="77" t="s">
        <v>525</v>
      </c>
      <c r="BD3" s="77" t="s">
        <v>671</v>
      </c>
      <c r="BE3" s="77" t="s">
        <v>672</v>
      </c>
      <c r="BF3" s="77" t="s">
        <v>567</v>
      </c>
      <c r="BG3" s="90" t="s">
        <v>571</v>
      </c>
      <c r="BH3" s="90" t="s">
        <v>570</v>
      </c>
      <c r="BI3" s="91" t="s">
        <v>568</v>
      </c>
      <c r="BJ3" s="91" t="s">
        <v>604</v>
      </c>
      <c r="BK3" s="91" t="s">
        <v>568</v>
      </c>
      <c r="BL3" s="91" t="s">
        <v>604</v>
      </c>
      <c r="BM3" s="90" t="s">
        <v>562</v>
      </c>
      <c r="BN3" s="90" t="s">
        <v>563</v>
      </c>
      <c r="BO3" s="92" t="s">
        <v>713</v>
      </c>
      <c r="BP3" s="92" t="s">
        <v>662</v>
      </c>
    </row>
    <row r="4" spans="1:68" s="72" customFormat="1" ht="63.75" x14ac:dyDescent="0.25">
      <c r="A4" s="94" t="s">
        <v>7</v>
      </c>
      <c r="B4" s="94"/>
      <c r="C4" s="79" t="s">
        <v>17</v>
      </c>
      <c r="D4" s="79" t="s">
        <v>18</v>
      </c>
      <c r="E4" s="79">
        <v>136</v>
      </c>
      <c r="F4" s="79" t="s">
        <v>110</v>
      </c>
      <c r="G4" s="79">
        <v>136</v>
      </c>
      <c r="H4" s="79" t="s">
        <v>295</v>
      </c>
      <c r="I4" s="94"/>
      <c r="J4" s="95" t="s">
        <v>185</v>
      </c>
      <c r="K4" s="96" t="s">
        <v>334</v>
      </c>
      <c r="L4" s="97">
        <v>30</v>
      </c>
      <c r="M4" s="98"/>
      <c r="N4" s="98"/>
      <c r="O4" s="98"/>
      <c r="P4" s="98"/>
      <c r="Q4" s="98" t="s">
        <v>15</v>
      </c>
      <c r="R4" s="98" t="s">
        <v>15</v>
      </c>
      <c r="S4" s="98"/>
      <c r="T4" s="98" t="s">
        <v>15</v>
      </c>
      <c r="U4" s="99" t="s">
        <v>296</v>
      </c>
      <c r="V4" s="100"/>
      <c r="W4" s="100"/>
      <c r="X4" s="100"/>
      <c r="Y4" s="100"/>
      <c r="Z4" s="100"/>
      <c r="AA4" s="100"/>
      <c r="AB4" s="100"/>
      <c r="AC4" s="100"/>
      <c r="AD4" s="100"/>
      <c r="AE4" s="100"/>
      <c r="AF4" s="100"/>
      <c r="AG4" s="100"/>
      <c r="AH4" s="100"/>
      <c r="AI4" s="100"/>
      <c r="AJ4" s="100"/>
      <c r="AK4" s="100"/>
      <c r="AL4" s="100"/>
      <c r="AM4" s="100"/>
      <c r="AN4" s="100"/>
      <c r="AO4" s="100" t="s">
        <v>299</v>
      </c>
      <c r="AP4" s="100"/>
      <c r="AQ4" s="100"/>
      <c r="AR4" s="100"/>
      <c r="AS4" s="100"/>
      <c r="AT4" s="100"/>
      <c r="AU4" s="100"/>
      <c r="AV4" s="100"/>
      <c r="AW4" s="100"/>
      <c r="AX4" s="100"/>
      <c r="AY4" s="100"/>
      <c r="AZ4" s="100"/>
      <c r="BA4" s="100"/>
      <c r="BB4" s="101"/>
      <c r="BC4" s="102">
        <f>IF((SUMPRODUCT(--(V4:AV4&lt;&gt;""))=0),"0",(VLOOKUP((MATCH("X",$V4:$AV4,0)), Lists!$E$13:$G$39,3)))</f>
        <v>242</v>
      </c>
      <c r="BD4" s="103">
        <f>IF((AND(ISBLANK(AU4), ISBLANK(BA4), ISBLANK(AW4))),(IF(BB4&gt;0,BB4*G4,(IF(AND(G4&lt;&gt;"-",BC4&gt;0),BC4*G4,"-")))),"-")</f>
        <v>32912</v>
      </c>
      <c r="BE4" s="103" t="str">
        <f>IF((AND(ISBLANK($AU4), ISBLANK($BA4), ISBLANK($AW4))),"-",((IF($BB4&gt;0,$BB4*$G4,(IF(AND($G4&lt;&gt;"-",$BC4&gt;0),$BC4*$G4,"-"))))))</f>
        <v>-</v>
      </c>
      <c r="BF4" s="94"/>
      <c r="BG4" s="98"/>
      <c r="BH4" s="98"/>
      <c r="BI4" s="104" t="str">
        <f>IF(ISBLANK($BG4),"-",(IF(BD4="-","-",BD4*(Lists!$K$10/100))))</f>
        <v>-</v>
      </c>
      <c r="BJ4" s="104" t="str">
        <f>IF(ISBLANK($BH4),"-",(IF(BD4="-","-",BD4*(Lists!$K$11/100))))</f>
        <v>-</v>
      </c>
      <c r="BK4" s="104" t="str">
        <f>IF(ISBLANK($BG4),"-",(IF(BE4="-","-",BE4*(Lists!$K$10/100))))</f>
        <v>-</v>
      </c>
      <c r="BL4" s="104" t="str">
        <f>IF(ISBLANK($BH4),"-",(IF(BE4="-","-",BE4*(Lists!$K$11/100))))</f>
        <v>-</v>
      </c>
      <c r="BM4" s="98"/>
      <c r="BN4" s="98"/>
      <c r="BO4" s="104" t="str">
        <f>IF(ISBLANK(BM4),"-",((Lists!$K$19/100)*(IF(BD4&lt;&gt;"-",BD4,BE4))))</f>
        <v>-</v>
      </c>
      <c r="BP4" s="104" t="str">
        <f>IF(ISBLANK(BN4),"-",((Lists!$K$20/100)*(IF(BD4&lt;&gt;"-",BD4,BE4))))</f>
        <v>-</v>
      </c>
    </row>
    <row r="5" spans="1:68" s="108" customFormat="1" ht="38.25" x14ac:dyDescent="0.25">
      <c r="A5" s="105" t="s">
        <v>7</v>
      </c>
      <c r="B5" s="105"/>
      <c r="C5" s="97" t="s">
        <v>18</v>
      </c>
      <c r="D5" s="106" t="s">
        <v>18</v>
      </c>
      <c r="E5" s="97" t="s">
        <v>110</v>
      </c>
      <c r="F5" s="97" t="s">
        <v>110</v>
      </c>
      <c r="G5" s="97">
        <v>1</v>
      </c>
      <c r="H5" s="97" t="s">
        <v>294</v>
      </c>
      <c r="I5" s="105"/>
      <c r="J5" s="99" t="s">
        <v>114</v>
      </c>
      <c r="K5" s="96" t="s">
        <v>334</v>
      </c>
      <c r="L5" s="97">
        <v>30</v>
      </c>
      <c r="M5" s="98"/>
      <c r="N5" s="98" t="s">
        <v>15</v>
      </c>
      <c r="O5" s="98"/>
      <c r="P5" s="98"/>
      <c r="Q5" s="98"/>
      <c r="R5" s="98"/>
      <c r="S5" s="98"/>
      <c r="T5" s="98"/>
      <c r="U5" s="99" t="s">
        <v>485</v>
      </c>
      <c r="V5" s="100"/>
      <c r="W5" s="100"/>
      <c r="X5" s="100"/>
      <c r="Y5" s="100" t="s">
        <v>299</v>
      </c>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7"/>
      <c r="BC5" s="102">
        <f>IF((SUMPRODUCT(--(V5:AV5&lt;&gt;""))=0),"0",(VLOOKUP((MATCH("X",$V5:$AV5,0)), Lists!$E$13:$G$39,3)))</f>
        <v>28656</v>
      </c>
      <c r="BD5" s="103">
        <f t="shared" ref="BD5:BD68" si="0">IF((AND(ISBLANK(AU5), ISBLANK(BA5), ISBLANK(AW5))),(IF(BB5&gt;0,BB5*G5,(IF(AND(G5&lt;&gt;"-",BC5&gt;0),BC5*G5,"-")))),"-")</f>
        <v>28656</v>
      </c>
      <c r="BE5" s="103" t="str">
        <f t="shared" ref="BE5:BE68" si="1">IF((AND(ISBLANK($AU5), ISBLANK($BA5), ISBLANK($AW5))),"-",((IF($BB5&gt;0,$BB5*$G5,(IF(AND($G5&lt;&gt;"-",$BC5&gt;0),$BC5*$G5,"-"))))))</f>
        <v>-</v>
      </c>
      <c r="BF5" s="97"/>
      <c r="BG5" s="98"/>
      <c r="BH5" s="98"/>
      <c r="BI5" s="104" t="str">
        <f>IF(ISBLANK($BG5),"-",(IF(BD5="-","-",BD5*(Lists!$K$10/100))))</f>
        <v>-</v>
      </c>
      <c r="BJ5" s="104" t="str">
        <f>IF(ISBLANK($BH5),"-",(IF(BD5="-","-",BD5*(Lists!$K$11/100))))</f>
        <v>-</v>
      </c>
      <c r="BK5" s="104" t="str">
        <f>IF(ISBLANK($BG5),"-",(IF(BE5="-","-",BE5*(Lists!$K$10/100))))</f>
        <v>-</v>
      </c>
      <c r="BL5" s="104" t="str">
        <f>IF(ISBLANK($BH5),"-",(IF(BE5="-","-",BE5*(Lists!$K$11/100))))</f>
        <v>-</v>
      </c>
      <c r="BM5" s="98"/>
      <c r="BN5" s="98"/>
      <c r="BO5" s="104" t="str">
        <f>IF(ISBLANK(BM5),"-",((Lists!$K$19/100)*(IF(BD5&lt;&gt;"-",BD5,BE5))))</f>
        <v>-</v>
      </c>
      <c r="BP5" s="104" t="str">
        <f>IF(ISBLANK(BN5),"-",((Lists!$K$20/100)*(IF(BD5&lt;&gt;"-",BD5,BE5))))</f>
        <v>-</v>
      </c>
    </row>
    <row r="6" spans="1:68" s="119" customFormat="1" ht="38.25" x14ac:dyDescent="0.25">
      <c r="A6" s="109" t="s">
        <v>7</v>
      </c>
      <c r="B6" s="109"/>
      <c r="C6" s="110" t="s">
        <v>18</v>
      </c>
      <c r="D6" s="110" t="s">
        <v>19</v>
      </c>
      <c r="E6" s="110">
        <v>495</v>
      </c>
      <c r="F6" s="110" t="s">
        <v>110</v>
      </c>
      <c r="G6" s="110" t="s">
        <v>110</v>
      </c>
      <c r="H6" s="110" t="s">
        <v>110</v>
      </c>
      <c r="I6" s="109"/>
      <c r="J6" s="111" t="s">
        <v>297</v>
      </c>
      <c r="K6" s="112" t="s">
        <v>334</v>
      </c>
      <c r="L6" s="110"/>
      <c r="M6" s="113"/>
      <c r="N6" s="113" t="s">
        <v>15</v>
      </c>
      <c r="O6" s="113"/>
      <c r="P6" s="113"/>
      <c r="Q6" s="113"/>
      <c r="R6" s="113"/>
      <c r="S6" s="113"/>
      <c r="T6" s="113"/>
      <c r="U6" s="111" t="s">
        <v>96</v>
      </c>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5"/>
      <c r="BC6" s="102" t="str">
        <f>IF((SUMPRODUCT(--(V6:AV6&lt;&gt;""))=0),"0",(VLOOKUP((MATCH("X",$V6:$AV6,0)), Lists!$E$13:$G$39,3)))</f>
        <v>0</v>
      </c>
      <c r="BD6" s="103" t="str">
        <f t="shared" si="0"/>
        <v>-</v>
      </c>
      <c r="BE6" s="103" t="str">
        <f t="shared" si="1"/>
        <v>-</v>
      </c>
      <c r="BF6" s="116" t="s">
        <v>115</v>
      </c>
      <c r="BG6" s="113"/>
      <c r="BH6" s="113"/>
      <c r="BI6" s="117" t="str">
        <f>IF(ISBLANK($BG6),"-",(IF(BD6="-","-",BD6*(Lists!$K$10/100))))</f>
        <v>-</v>
      </c>
      <c r="BJ6" s="117" t="str">
        <f>IF(ISBLANK($BH6),"-",(IF(BD6="-","-",BD6*(Lists!$K$11/100))))</f>
        <v>-</v>
      </c>
      <c r="BK6" s="117" t="str">
        <f>IF(ISBLANK($BG6),"-",(IF(BE6="-","-",BE6*(Lists!$K$10/100))))</f>
        <v>-</v>
      </c>
      <c r="BL6" s="117" t="str">
        <f>IF(ISBLANK($BH6),"-",(IF(BE6="-","-",BE6*(Lists!$K$11/100))))</f>
        <v>-</v>
      </c>
      <c r="BM6" s="113"/>
      <c r="BN6" s="113"/>
      <c r="BO6" s="117" t="str">
        <f>IF(ISBLANK(BM6),"-",((Lists!$K$19/100)*(IF(BD6&lt;&gt;"-",BD6,BE6))))</f>
        <v>-</v>
      </c>
      <c r="BP6" s="117" t="str">
        <f>IF(ISBLANK(BN6),"-",((Lists!$K$20/100)*(IF(BD6&lt;&gt;"-",BD6,BE6))))</f>
        <v>-</v>
      </c>
    </row>
    <row r="7" spans="1:68" s="72" customFormat="1" ht="76.5" customHeight="1" x14ac:dyDescent="0.25">
      <c r="A7" s="105" t="s">
        <v>7</v>
      </c>
      <c r="B7" s="120"/>
      <c r="C7" s="97" t="s">
        <v>19</v>
      </c>
      <c r="D7" s="97" t="s">
        <v>20</v>
      </c>
      <c r="E7" s="97">
        <v>203</v>
      </c>
      <c r="F7" s="97" t="s">
        <v>110</v>
      </c>
      <c r="G7" s="97">
        <v>1</v>
      </c>
      <c r="H7" s="97" t="s">
        <v>294</v>
      </c>
      <c r="I7" s="120"/>
      <c r="J7" s="99" t="s">
        <v>663</v>
      </c>
      <c r="K7" s="96" t="s">
        <v>334</v>
      </c>
      <c r="L7" s="97">
        <v>20</v>
      </c>
      <c r="M7" s="98"/>
      <c r="N7" s="98"/>
      <c r="O7" s="98"/>
      <c r="P7" s="98"/>
      <c r="Q7" s="98"/>
      <c r="R7" s="98" t="s">
        <v>15</v>
      </c>
      <c r="S7" s="98" t="s">
        <v>15</v>
      </c>
      <c r="T7" s="98" t="s">
        <v>15</v>
      </c>
      <c r="U7" s="99" t="s">
        <v>714</v>
      </c>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t="s">
        <v>299</v>
      </c>
      <c r="BA7" s="100"/>
      <c r="BB7" s="107">
        <v>98252</v>
      </c>
      <c r="BC7" s="102" t="str">
        <f>IF((SUMPRODUCT(--(V7:AV7&lt;&gt;""))=0),"0",(VLOOKUP((MATCH("X",$V7:$AV7,0)), Lists!$E$13:$G$39,3)))</f>
        <v>0</v>
      </c>
      <c r="BD7" s="103">
        <f t="shared" si="0"/>
        <v>98252</v>
      </c>
      <c r="BE7" s="103" t="str">
        <f t="shared" si="1"/>
        <v>-</v>
      </c>
      <c r="BF7" s="94" t="s">
        <v>115</v>
      </c>
      <c r="BG7" s="98"/>
      <c r="BH7" s="98"/>
      <c r="BI7" s="104" t="str">
        <f>IF(ISBLANK($BG7),"-",(IF(BD7="-","-",BD7*(Lists!$K$10/100))))</f>
        <v>-</v>
      </c>
      <c r="BJ7" s="104" t="str">
        <f>IF(ISBLANK($BH7),"-",(IF(BD7="-","-",BD7*(Lists!$K$11/100))))</f>
        <v>-</v>
      </c>
      <c r="BK7" s="104" t="str">
        <f>IF(ISBLANK($BG7),"-",(IF(BE7="-","-",BE7*(Lists!$K$10/100))))</f>
        <v>-</v>
      </c>
      <c r="BL7" s="104" t="str">
        <f>IF(ISBLANK($BH7),"-",(IF(BE7="-","-",BE7*(Lists!$K$11/100))))</f>
        <v>-</v>
      </c>
      <c r="BM7" s="98"/>
      <c r="BN7" s="98"/>
      <c r="BO7" s="104" t="str">
        <f>IF(ISBLANK(BM7),"-",((Lists!$K$19/100)*(IF(BD7&lt;&gt;"-",BD7,BE7))))</f>
        <v>-</v>
      </c>
      <c r="BP7" s="104" t="str">
        <f>IF(ISBLANK(BN7),"-",((Lists!$K$20/100)*(IF(BD7&lt;&gt;"-",BD7,BE7))))</f>
        <v>-</v>
      </c>
    </row>
    <row r="8" spans="1:68" s="118" customFormat="1" ht="42" customHeight="1" x14ac:dyDescent="0.25">
      <c r="A8" s="109" t="s">
        <v>7</v>
      </c>
      <c r="B8" s="109"/>
      <c r="C8" s="110" t="s">
        <v>20</v>
      </c>
      <c r="D8" s="110" t="s">
        <v>21</v>
      </c>
      <c r="E8" s="110">
        <v>413</v>
      </c>
      <c r="F8" s="110" t="s">
        <v>110</v>
      </c>
      <c r="G8" s="110" t="s">
        <v>110</v>
      </c>
      <c r="H8" s="110" t="s">
        <v>110</v>
      </c>
      <c r="I8" s="109"/>
      <c r="J8" s="111" t="s">
        <v>94</v>
      </c>
      <c r="K8" s="112" t="s">
        <v>334</v>
      </c>
      <c r="L8" s="110">
        <v>20</v>
      </c>
      <c r="M8" s="113"/>
      <c r="N8" s="113" t="s">
        <v>15</v>
      </c>
      <c r="O8" s="113"/>
      <c r="P8" s="113"/>
      <c r="Q8" s="113"/>
      <c r="R8" s="113"/>
      <c r="S8" s="113"/>
      <c r="T8" s="113"/>
      <c r="U8" s="111" t="s">
        <v>95</v>
      </c>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5"/>
      <c r="BC8" s="102" t="str">
        <f>IF((SUMPRODUCT(--(V8:AV8&lt;&gt;""))=0),"0",(VLOOKUP((MATCH("X",$V8:$AV8,0)), Lists!$E$13:$G$39,3)))</f>
        <v>0</v>
      </c>
      <c r="BD8" s="103" t="str">
        <f t="shared" si="0"/>
        <v>-</v>
      </c>
      <c r="BE8" s="103" t="str">
        <f t="shared" si="1"/>
        <v>-</v>
      </c>
      <c r="BF8" s="116" t="s">
        <v>115</v>
      </c>
      <c r="BG8" s="113"/>
      <c r="BH8" s="113"/>
      <c r="BI8" s="117" t="str">
        <f>IF(ISBLANK($BG8),"-",(IF(BD8="-","-",BD8*(Lists!$K$10/100))))</f>
        <v>-</v>
      </c>
      <c r="BJ8" s="117" t="str">
        <f>IF(ISBLANK($BH8),"-",(IF(BD8="-","-",BD8*(Lists!$K$11/100))))</f>
        <v>-</v>
      </c>
      <c r="BK8" s="117" t="str">
        <f>IF(ISBLANK($BG8),"-",(IF(BE8="-","-",BE8*(Lists!$K$10/100))))</f>
        <v>-</v>
      </c>
      <c r="BL8" s="117" t="str">
        <f>IF(ISBLANK($BH8),"-",(IF(BE8="-","-",BE8*(Lists!$K$11/100))))</f>
        <v>-</v>
      </c>
      <c r="BM8" s="113"/>
      <c r="BN8" s="113"/>
      <c r="BO8" s="117" t="str">
        <f>IF(ISBLANK(BM8),"-",((Lists!$K$19/100)*(IF(BD8&lt;&gt;"-",BD8,BE8))))</f>
        <v>-</v>
      </c>
      <c r="BP8" s="117" t="str">
        <f>IF(ISBLANK(BN8),"-",((Lists!$K$20/100)*(IF(BD8&lt;&gt;"-",BD8,BE8))))</f>
        <v>-</v>
      </c>
    </row>
    <row r="9" spans="1:68" s="119" customFormat="1" x14ac:dyDescent="0.25">
      <c r="A9" s="121" t="s">
        <v>7</v>
      </c>
      <c r="B9" s="121"/>
      <c r="C9" s="323" t="s">
        <v>21</v>
      </c>
      <c r="D9" s="365" t="s">
        <v>23</v>
      </c>
      <c r="E9" s="323" t="s">
        <v>110</v>
      </c>
      <c r="F9" s="323" t="s">
        <v>110</v>
      </c>
      <c r="G9" s="110" t="s">
        <v>110</v>
      </c>
      <c r="H9" s="110" t="s">
        <v>295</v>
      </c>
      <c r="I9" s="358"/>
      <c r="J9" s="111" t="s">
        <v>611</v>
      </c>
      <c r="K9" s="112" t="s">
        <v>334</v>
      </c>
      <c r="L9" s="323"/>
      <c r="M9" s="338"/>
      <c r="N9" s="338" t="s">
        <v>15</v>
      </c>
      <c r="O9" s="338"/>
      <c r="P9" s="338"/>
      <c r="Q9" s="338"/>
      <c r="R9" s="338"/>
      <c r="S9" s="338"/>
      <c r="T9" s="338"/>
      <c r="U9" s="360" t="s">
        <v>613</v>
      </c>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5"/>
      <c r="BC9" s="102" t="str">
        <f>IF((SUMPRODUCT(--(V9:AV9&lt;&gt;""))=0),"0",(VLOOKUP((MATCH("X",$V9:$AV9,0)), Lists!$E$13:$G$39,3)))</f>
        <v>0</v>
      </c>
      <c r="BD9" s="103" t="str">
        <f t="shared" si="0"/>
        <v>-</v>
      </c>
      <c r="BE9" s="103" t="str">
        <f t="shared" si="1"/>
        <v>-</v>
      </c>
      <c r="BF9" s="116" t="s">
        <v>115</v>
      </c>
      <c r="BG9" s="122"/>
      <c r="BH9" s="122"/>
      <c r="BI9" s="117" t="str">
        <f>IF(ISBLANK($BG9),"-",(IF(BD9="-","-",BD9*(Lists!$K$10/100))))</f>
        <v>-</v>
      </c>
      <c r="BJ9" s="117" t="str">
        <f>IF(ISBLANK($BH9),"-",(IF(BD9="-","-",BD9*(Lists!$K$11/100))))</f>
        <v>-</v>
      </c>
      <c r="BK9" s="117" t="str">
        <f>IF(ISBLANK($BG9),"-",(IF(BE9="-","-",BE9*(Lists!$K$10/100))))</f>
        <v>-</v>
      </c>
      <c r="BL9" s="117" t="str">
        <f>IF(ISBLANK($BH9),"-",(IF(BE9="-","-",BE9*(Lists!$K$11/100))))</f>
        <v>-</v>
      </c>
      <c r="BM9" s="123"/>
      <c r="BN9" s="123"/>
      <c r="BO9" s="117" t="str">
        <f>IF(ISBLANK(BM9),"-",((Lists!$K$19/100)*(IF(BD9&lt;&gt;"-",BD9,BE9))))</f>
        <v>-</v>
      </c>
      <c r="BP9" s="117" t="str">
        <f>IF(ISBLANK(BN9),"-",((Lists!$K$20/100)*(IF(BD9&lt;&gt;"-",BD9,BE9))))</f>
        <v>-</v>
      </c>
    </row>
    <row r="10" spans="1:68" s="119" customFormat="1" ht="25.5" x14ac:dyDescent="0.25">
      <c r="A10" s="121" t="s">
        <v>7</v>
      </c>
      <c r="B10" s="124"/>
      <c r="C10" s="325"/>
      <c r="D10" s="325"/>
      <c r="E10" s="325"/>
      <c r="F10" s="325"/>
      <c r="G10" s="110" t="s">
        <v>110</v>
      </c>
      <c r="H10" s="110" t="s">
        <v>294</v>
      </c>
      <c r="I10" s="359"/>
      <c r="J10" s="111" t="s">
        <v>612</v>
      </c>
      <c r="K10" s="112" t="s">
        <v>334</v>
      </c>
      <c r="L10" s="326"/>
      <c r="M10" s="339"/>
      <c r="N10" s="339" t="s">
        <v>15</v>
      </c>
      <c r="O10" s="339"/>
      <c r="P10" s="339"/>
      <c r="Q10" s="339"/>
      <c r="R10" s="339"/>
      <c r="S10" s="339"/>
      <c r="T10" s="339"/>
      <c r="U10" s="359"/>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25"/>
      <c r="BC10" s="102" t="str">
        <f>IF((SUMPRODUCT(--(V10:AV10&lt;&gt;""))=0),"0",(VLOOKUP((MATCH("X",$V10:$AV10,0)), Lists!$E$13:$G$39,3)))</f>
        <v>0</v>
      </c>
      <c r="BD10" s="103" t="str">
        <f t="shared" si="0"/>
        <v>-</v>
      </c>
      <c r="BE10" s="103" t="str">
        <f t="shared" si="1"/>
        <v>-</v>
      </c>
      <c r="BF10" s="116" t="s">
        <v>115</v>
      </c>
      <c r="BG10" s="126"/>
      <c r="BH10" s="126"/>
      <c r="BI10" s="117" t="str">
        <f>IF(ISBLANK($BG10),"-",(IF(BD10="-","-",BD10*(Lists!$K$10/100))))</f>
        <v>-</v>
      </c>
      <c r="BJ10" s="117" t="str">
        <f>IF(ISBLANK($BH10),"-",(IF(BD10="-","-",BD10*(Lists!$K$11/100))))</f>
        <v>-</v>
      </c>
      <c r="BK10" s="117" t="str">
        <f>IF(ISBLANK($BG10),"-",(IF(BE10="-","-",BE10*(Lists!$K$10/100))))</f>
        <v>-</v>
      </c>
      <c r="BL10" s="117" t="str">
        <f>IF(ISBLANK($BH10),"-",(IF(BE10="-","-",BE10*(Lists!$K$11/100))))</f>
        <v>-</v>
      </c>
      <c r="BM10" s="127"/>
      <c r="BN10" s="127"/>
      <c r="BO10" s="117" t="str">
        <f>IF(ISBLANK(BM10),"-",((Lists!$K$19/100)*(IF(BD10&lt;&gt;"-",BD10,BE10))))</f>
        <v>-</v>
      </c>
      <c r="BP10" s="117" t="str">
        <f>IF(ISBLANK(BN10),"-",((Lists!$K$20/100)*(IF(BD10&lt;&gt;"-",BD10,BE10))))</f>
        <v>-</v>
      </c>
    </row>
    <row r="11" spans="1:68" s="72" customFormat="1" ht="38.25" x14ac:dyDescent="0.25">
      <c r="A11" s="128" t="s">
        <v>88</v>
      </c>
      <c r="B11" s="128"/>
      <c r="C11" s="309" t="s">
        <v>23</v>
      </c>
      <c r="D11" s="309" t="s">
        <v>24</v>
      </c>
      <c r="E11" s="309">
        <v>1537</v>
      </c>
      <c r="F11" s="309" t="s">
        <v>110</v>
      </c>
      <c r="G11" s="97">
        <v>8</v>
      </c>
      <c r="H11" s="97" t="s">
        <v>294</v>
      </c>
      <c r="I11" s="105"/>
      <c r="J11" s="99" t="s">
        <v>664</v>
      </c>
      <c r="K11" s="96" t="s">
        <v>334</v>
      </c>
      <c r="L11" s="309">
        <v>30</v>
      </c>
      <c r="M11" s="320"/>
      <c r="N11" s="320" t="s">
        <v>15</v>
      </c>
      <c r="O11" s="320"/>
      <c r="P11" s="320"/>
      <c r="Q11" s="320" t="s">
        <v>15</v>
      </c>
      <c r="R11" s="320" t="s">
        <v>15</v>
      </c>
      <c r="S11" s="320" t="s">
        <v>15</v>
      </c>
      <c r="T11" s="320" t="s">
        <v>15</v>
      </c>
      <c r="U11" s="361" t="s">
        <v>715</v>
      </c>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t="s">
        <v>299</v>
      </c>
      <c r="BA11" s="100"/>
      <c r="BB11" s="107">
        <v>5000</v>
      </c>
      <c r="BC11" s="102" t="str">
        <f>IF((SUMPRODUCT(--(V11:AV11&lt;&gt;""))=0),"0",(VLOOKUP((MATCH("X",$V11:$AV11,0)), Lists!$E$13:$G$39,3)))</f>
        <v>0</v>
      </c>
      <c r="BD11" s="103">
        <f t="shared" si="0"/>
        <v>40000</v>
      </c>
      <c r="BE11" s="103" t="str">
        <f t="shared" si="1"/>
        <v>-</v>
      </c>
      <c r="BF11" s="94" t="s">
        <v>655</v>
      </c>
      <c r="BG11" s="98"/>
      <c r="BH11" s="98"/>
      <c r="BI11" s="104" t="str">
        <f>IF(ISBLANK($BG11),"-",(IF(BD11="-","-",BD11*(Lists!$K$10/100))))</f>
        <v>-</v>
      </c>
      <c r="BJ11" s="104" t="str">
        <f>IF(ISBLANK($BH11),"-",(IF(BD11="-","-",BD11*(Lists!$K$11/100))))</f>
        <v>-</v>
      </c>
      <c r="BK11" s="104" t="str">
        <f>IF(ISBLANK($BG11),"-",(IF(BE11="-","-",BE11*(Lists!$K$10/100))))</f>
        <v>-</v>
      </c>
      <c r="BL11" s="104" t="str">
        <f>IF(ISBLANK($BH11),"-",(IF(BE11="-","-",BE11*(Lists!$K$11/100))))</f>
        <v>-</v>
      </c>
      <c r="BM11" s="129"/>
      <c r="BN11" s="129"/>
      <c r="BO11" s="104" t="str">
        <f>IF(ISBLANK(BM11),"-",((Lists!$K$19/100)*(IF(BD11&lt;&gt;"-",BD11,BE11))))</f>
        <v>-</v>
      </c>
      <c r="BP11" s="104" t="str">
        <f>IF(ISBLANK(BN11),"-",((Lists!$K$20/100)*(IF(BD11&lt;&gt;"-",BD11,BE11))))</f>
        <v>-</v>
      </c>
    </row>
    <row r="12" spans="1:68" s="72" customFormat="1" ht="25.5" x14ac:dyDescent="0.25">
      <c r="A12" s="128" t="s">
        <v>88</v>
      </c>
      <c r="B12" s="128"/>
      <c r="C12" s="309"/>
      <c r="D12" s="309"/>
      <c r="E12" s="309"/>
      <c r="F12" s="309"/>
      <c r="G12" s="97">
        <v>2</v>
      </c>
      <c r="H12" s="97" t="s">
        <v>294</v>
      </c>
      <c r="I12" s="105"/>
      <c r="J12" s="99" t="s">
        <v>549</v>
      </c>
      <c r="K12" s="96" t="s">
        <v>334</v>
      </c>
      <c r="L12" s="318"/>
      <c r="M12" s="327"/>
      <c r="N12" s="327"/>
      <c r="O12" s="327"/>
      <c r="P12" s="327"/>
      <c r="Q12" s="327"/>
      <c r="R12" s="327"/>
      <c r="S12" s="327"/>
      <c r="T12" s="327"/>
      <c r="U12" s="318"/>
      <c r="V12" s="100"/>
      <c r="W12" s="100"/>
      <c r="X12" s="100"/>
      <c r="Y12" s="100"/>
      <c r="Z12" s="100"/>
      <c r="AA12" s="100"/>
      <c r="AB12" s="100"/>
      <c r="AC12" s="100"/>
      <c r="AD12" s="100"/>
      <c r="AE12" s="100"/>
      <c r="AF12" s="100"/>
      <c r="AG12" s="100"/>
      <c r="AH12" s="100"/>
      <c r="AI12" s="100"/>
      <c r="AJ12" s="100"/>
      <c r="AK12" s="100" t="s">
        <v>299</v>
      </c>
      <c r="AL12" s="100"/>
      <c r="AM12" s="100"/>
      <c r="AN12" s="100"/>
      <c r="AO12" s="100"/>
      <c r="AP12" s="100"/>
      <c r="AQ12" s="100"/>
      <c r="AR12" s="100"/>
      <c r="AS12" s="100"/>
      <c r="AT12" s="100"/>
      <c r="AU12" s="100"/>
      <c r="AV12" s="100"/>
      <c r="AW12" s="100"/>
      <c r="AX12" s="100"/>
      <c r="AY12" s="100"/>
      <c r="AZ12" s="100"/>
      <c r="BA12" s="100"/>
      <c r="BB12" s="107"/>
      <c r="BC12" s="102">
        <f>IF((SUMPRODUCT(--(V12:AV12&lt;&gt;""))=0),"0",(VLOOKUP((MATCH("X",$V12:$AV12,0)), Lists!$E$13:$G$39,3)))</f>
        <v>18750</v>
      </c>
      <c r="BD12" s="103">
        <f t="shared" si="0"/>
        <v>37500</v>
      </c>
      <c r="BE12" s="103" t="str">
        <f t="shared" si="1"/>
        <v>-</v>
      </c>
      <c r="BF12" s="94"/>
      <c r="BG12" s="98"/>
      <c r="BH12" s="98"/>
      <c r="BI12" s="104" t="str">
        <f>IF(ISBLANK($BG12),"-",(IF(BD12="-","-",BD12*(Lists!$K$10/100))))</f>
        <v>-</v>
      </c>
      <c r="BJ12" s="104" t="str">
        <f>IF(ISBLANK($BH12),"-",(IF(BD12="-","-",BD12*(Lists!$K$11/100))))</f>
        <v>-</v>
      </c>
      <c r="BK12" s="104" t="str">
        <f>IF(ISBLANK($BG12),"-",(IF(BE12="-","-",BE12*(Lists!$K$10/100))))</f>
        <v>-</v>
      </c>
      <c r="BL12" s="104" t="str">
        <f>IF(ISBLANK($BH12),"-",(IF(BE12="-","-",BE12*(Lists!$K$11/100))))</f>
        <v>-</v>
      </c>
      <c r="BM12" s="129"/>
      <c r="BN12" s="129"/>
      <c r="BO12" s="104" t="str">
        <f>IF(ISBLANK(BM12),"-",((Lists!$K$19/100)*(IF(BD12&lt;&gt;"-",BD12,BE12))))</f>
        <v>-</v>
      </c>
      <c r="BP12" s="104" t="str">
        <f>IF(ISBLANK(BN12),"-",((Lists!$K$20/100)*(IF(BD12&lt;&gt;"-",BD12,BE12))))</f>
        <v>-</v>
      </c>
    </row>
    <row r="13" spans="1:68" s="72" customFormat="1" ht="38.25" x14ac:dyDescent="0.25">
      <c r="A13" s="130" t="s">
        <v>88</v>
      </c>
      <c r="B13" s="130"/>
      <c r="C13" s="307" t="s">
        <v>24</v>
      </c>
      <c r="D13" s="307" t="s">
        <v>25</v>
      </c>
      <c r="E13" s="307">
        <v>596</v>
      </c>
      <c r="F13" s="307" t="s">
        <v>110</v>
      </c>
      <c r="G13" s="97">
        <v>4</v>
      </c>
      <c r="H13" s="97" t="s">
        <v>294</v>
      </c>
      <c r="I13" s="105"/>
      <c r="J13" s="99" t="s">
        <v>665</v>
      </c>
      <c r="K13" s="96" t="s">
        <v>334</v>
      </c>
      <c r="L13" s="97">
        <v>30</v>
      </c>
      <c r="M13" s="98"/>
      <c r="N13" s="98"/>
      <c r="O13" s="98"/>
      <c r="P13" s="98"/>
      <c r="Q13" s="98" t="s">
        <v>15</v>
      </c>
      <c r="R13" s="98"/>
      <c r="S13" s="98" t="s">
        <v>15</v>
      </c>
      <c r="T13" s="98"/>
      <c r="U13" s="330" t="s">
        <v>328</v>
      </c>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t="s">
        <v>299</v>
      </c>
      <c r="BA13" s="100"/>
      <c r="BB13" s="107">
        <v>5000</v>
      </c>
      <c r="BC13" s="102" t="str">
        <f>IF((SUMPRODUCT(--(V13:AV13&lt;&gt;""))=0),"0",(VLOOKUP((MATCH("X",$V13:$AV13,0)), Lists!$E$13:$G$39,3)))</f>
        <v>0</v>
      </c>
      <c r="BD13" s="103">
        <f t="shared" si="0"/>
        <v>20000</v>
      </c>
      <c r="BE13" s="103" t="str">
        <f t="shared" si="1"/>
        <v>-</v>
      </c>
      <c r="BF13" s="94"/>
      <c r="BG13" s="98"/>
      <c r="BH13" s="98"/>
      <c r="BI13" s="104" t="str">
        <f>IF(ISBLANK($BG13),"-",(IF(BD13="-","-",BD13*(Lists!$K$10/100))))</f>
        <v>-</v>
      </c>
      <c r="BJ13" s="104" t="str">
        <f>IF(ISBLANK($BH13),"-",(IF(BD13="-","-",BD13*(Lists!$K$11/100))))</f>
        <v>-</v>
      </c>
      <c r="BK13" s="104" t="str">
        <f>IF(ISBLANK($BG13),"-",(IF(BE13="-","-",BE13*(Lists!$K$10/100))))</f>
        <v>-</v>
      </c>
      <c r="BL13" s="104" t="str">
        <f>IF(ISBLANK($BH13),"-",(IF(BE13="-","-",BE13*(Lists!$K$11/100))))</f>
        <v>-</v>
      </c>
      <c r="BM13" s="98"/>
      <c r="BN13" s="98"/>
      <c r="BO13" s="104" t="str">
        <f>IF(ISBLANK(BM13),"-",((Lists!$K$19/100)*(IF(BD13&lt;&gt;"-",BD13,BE13))))</f>
        <v>-</v>
      </c>
      <c r="BP13" s="104" t="str">
        <f>IF(ISBLANK(BN13),"-",((Lists!$K$20/100)*(IF(BD13&lt;&gt;"-",BD13,BE13))))</f>
        <v>-</v>
      </c>
    </row>
    <row r="14" spans="1:68" s="72" customFormat="1" ht="25.5" x14ac:dyDescent="0.25">
      <c r="A14" s="130" t="s">
        <v>88</v>
      </c>
      <c r="B14" s="131"/>
      <c r="C14" s="308"/>
      <c r="D14" s="308"/>
      <c r="E14" s="308"/>
      <c r="F14" s="308"/>
      <c r="G14" s="97">
        <v>1</v>
      </c>
      <c r="H14" s="97" t="s">
        <v>294</v>
      </c>
      <c r="I14" s="105"/>
      <c r="J14" s="99" t="s">
        <v>305</v>
      </c>
      <c r="K14" s="96" t="s">
        <v>334</v>
      </c>
      <c r="L14" s="97">
        <v>30</v>
      </c>
      <c r="M14" s="98"/>
      <c r="N14" s="98" t="s">
        <v>15</v>
      </c>
      <c r="O14" s="98"/>
      <c r="P14" s="98"/>
      <c r="Q14" s="98"/>
      <c r="R14" s="98"/>
      <c r="S14" s="98"/>
      <c r="T14" s="98"/>
      <c r="U14" s="347"/>
      <c r="V14" s="100"/>
      <c r="W14" s="100"/>
      <c r="X14" s="100"/>
      <c r="Y14" s="100"/>
      <c r="Z14" s="100"/>
      <c r="AA14" s="100"/>
      <c r="AB14" s="100"/>
      <c r="AC14" s="100"/>
      <c r="AD14" s="100"/>
      <c r="AE14" s="100"/>
      <c r="AF14" s="100"/>
      <c r="AG14" s="100"/>
      <c r="AH14" s="100"/>
      <c r="AI14" s="100"/>
      <c r="AJ14" s="100"/>
      <c r="AK14" s="100" t="s">
        <v>299</v>
      </c>
      <c r="AL14" s="100"/>
      <c r="AM14" s="100"/>
      <c r="AN14" s="100"/>
      <c r="AO14" s="100"/>
      <c r="AP14" s="100"/>
      <c r="AQ14" s="100"/>
      <c r="AR14" s="100"/>
      <c r="AS14" s="100"/>
      <c r="AT14" s="100"/>
      <c r="AU14" s="100"/>
      <c r="AV14" s="100"/>
      <c r="AW14" s="100"/>
      <c r="AX14" s="100"/>
      <c r="AY14" s="100"/>
      <c r="AZ14" s="100"/>
      <c r="BA14" s="100"/>
      <c r="BB14" s="107"/>
      <c r="BC14" s="102">
        <f>IF((SUMPRODUCT(--(V14:AV14&lt;&gt;""))=0),"0",(VLOOKUP((MATCH("X",$V14:$AV14,0)), Lists!$E$13:$G$39,3)))</f>
        <v>18750</v>
      </c>
      <c r="BD14" s="103">
        <f t="shared" si="0"/>
        <v>18750</v>
      </c>
      <c r="BE14" s="103" t="str">
        <f t="shared" si="1"/>
        <v>-</v>
      </c>
      <c r="BF14" s="94"/>
      <c r="BG14" s="98"/>
      <c r="BH14" s="98"/>
      <c r="BI14" s="104" t="str">
        <f>IF(ISBLANK($BG14),"-",(IF(BD14="-","-",BD14*(Lists!$K$10/100))))</f>
        <v>-</v>
      </c>
      <c r="BJ14" s="104" t="str">
        <f>IF(ISBLANK($BH14),"-",(IF(BD14="-","-",BD14*(Lists!$K$11/100))))</f>
        <v>-</v>
      </c>
      <c r="BK14" s="104" t="str">
        <f>IF(ISBLANK($BG14),"-",(IF(BE14="-","-",BE14*(Lists!$K$10/100))))</f>
        <v>-</v>
      </c>
      <c r="BL14" s="104" t="str">
        <f>IF(ISBLANK($BH14),"-",(IF(BE14="-","-",BE14*(Lists!$K$11/100))))</f>
        <v>-</v>
      </c>
      <c r="BM14" s="98"/>
      <c r="BN14" s="98"/>
      <c r="BO14" s="104" t="str">
        <f>IF(ISBLANK(BM14),"-",((Lists!$K$19/100)*(IF(BD14&lt;&gt;"-",BD14,BE14))))</f>
        <v>-</v>
      </c>
      <c r="BP14" s="104" t="str">
        <f>IF(ISBLANK(BN14),"-",((Lists!$K$20/100)*(IF(BD14&lt;&gt;"-",BD14,BE14))))</f>
        <v>-</v>
      </c>
    </row>
    <row r="15" spans="1:68" s="72" customFormat="1" ht="51" x14ac:dyDescent="0.25">
      <c r="A15" s="130" t="s">
        <v>88</v>
      </c>
      <c r="B15" s="130"/>
      <c r="C15" s="307" t="s">
        <v>24</v>
      </c>
      <c r="D15" s="307" t="s">
        <v>116</v>
      </c>
      <c r="E15" s="307">
        <v>127</v>
      </c>
      <c r="F15" s="307" t="s">
        <v>110</v>
      </c>
      <c r="G15" s="97">
        <v>6</v>
      </c>
      <c r="H15" s="97" t="s">
        <v>294</v>
      </c>
      <c r="I15" s="105"/>
      <c r="J15" s="96" t="s">
        <v>666</v>
      </c>
      <c r="K15" s="96" t="s">
        <v>334</v>
      </c>
      <c r="L15" s="370">
        <v>30</v>
      </c>
      <c r="M15" s="320"/>
      <c r="N15" s="320"/>
      <c r="O15" s="320"/>
      <c r="P15" s="320"/>
      <c r="Q15" s="320" t="s">
        <v>15</v>
      </c>
      <c r="R15" s="320" t="s">
        <v>15</v>
      </c>
      <c r="S15" s="320" t="s">
        <v>15</v>
      </c>
      <c r="T15" s="320" t="s">
        <v>15</v>
      </c>
      <c r="U15" s="314" t="s">
        <v>607</v>
      </c>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t="s">
        <v>299</v>
      </c>
      <c r="BA15" s="100"/>
      <c r="BB15" s="107">
        <v>5000</v>
      </c>
      <c r="BC15" s="102" t="str">
        <f>IF((SUMPRODUCT(--(V15:AV15&lt;&gt;""))=0),"0",(VLOOKUP((MATCH("X",$V15:$AV15,0)), Lists!$E$13:$G$39,3)))</f>
        <v>0</v>
      </c>
      <c r="BD15" s="103">
        <f t="shared" si="0"/>
        <v>30000</v>
      </c>
      <c r="BE15" s="103" t="str">
        <f t="shared" si="1"/>
        <v>-</v>
      </c>
      <c r="BF15" s="94"/>
      <c r="BG15" s="132"/>
      <c r="BH15" s="132"/>
      <c r="BI15" s="104" t="str">
        <f>IF(ISBLANK($BG15),"-",(IF(BD15="-","-",BD15*(Lists!$K$10/100))))</f>
        <v>-</v>
      </c>
      <c r="BJ15" s="104" t="str">
        <f>IF(ISBLANK($BH15),"-",(IF(BD15="-","-",BD15*(Lists!$K$11/100))))</f>
        <v>-</v>
      </c>
      <c r="BK15" s="104" t="str">
        <f>IF(ISBLANK($BG15),"-",(IF(BE15="-","-",BE15*(Lists!$K$10/100))))</f>
        <v>-</v>
      </c>
      <c r="BL15" s="104" t="str">
        <f>IF(ISBLANK($BH15),"-",(IF(BE15="-","-",BE15*(Lists!$K$11/100))))</f>
        <v>-</v>
      </c>
      <c r="BM15" s="133"/>
      <c r="BN15" s="133"/>
      <c r="BO15" s="104" t="str">
        <f>IF(ISBLANK(BM15),"-",((Lists!$K$19/100)*(IF(BD15&lt;&gt;"-",BD15,BE15))))</f>
        <v>-</v>
      </c>
      <c r="BP15" s="104" t="str">
        <f>IF(ISBLANK(BN15),"-",((Lists!$K$20/100)*(IF(BD15&lt;&gt;"-",BD15,BE15))))</f>
        <v>-</v>
      </c>
    </row>
    <row r="16" spans="1:68" s="72" customFormat="1" ht="25.5" x14ac:dyDescent="0.25">
      <c r="A16" s="130" t="s">
        <v>88</v>
      </c>
      <c r="B16" s="131"/>
      <c r="C16" s="308"/>
      <c r="D16" s="308"/>
      <c r="E16" s="308"/>
      <c r="F16" s="308"/>
      <c r="G16" s="97">
        <v>1</v>
      </c>
      <c r="H16" s="97" t="s">
        <v>294</v>
      </c>
      <c r="I16" s="105"/>
      <c r="J16" s="96" t="s">
        <v>306</v>
      </c>
      <c r="K16" s="96" t="s">
        <v>334</v>
      </c>
      <c r="L16" s="371"/>
      <c r="M16" s="321"/>
      <c r="N16" s="321"/>
      <c r="O16" s="321"/>
      <c r="P16" s="321"/>
      <c r="Q16" s="321"/>
      <c r="R16" s="321"/>
      <c r="S16" s="321"/>
      <c r="T16" s="321"/>
      <c r="U16" s="304"/>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t="s">
        <v>299</v>
      </c>
      <c r="AZ16" s="100"/>
      <c r="BA16" s="100"/>
      <c r="BB16" s="134">
        <v>5000</v>
      </c>
      <c r="BC16" s="102" t="str">
        <f>IF((SUMPRODUCT(--(V16:AV16&lt;&gt;""))=0),"0",(VLOOKUP((MATCH("X",$V16:$AV16,0)), Lists!$E$13:$G$39,3)))</f>
        <v>0</v>
      </c>
      <c r="BD16" s="103">
        <f t="shared" si="0"/>
        <v>5000</v>
      </c>
      <c r="BE16" s="103" t="str">
        <f t="shared" si="1"/>
        <v>-</v>
      </c>
      <c r="BF16" s="94" t="s">
        <v>468</v>
      </c>
      <c r="BG16" s="135"/>
      <c r="BH16" s="135"/>
      <c r="BI16" s="104" t="str">
        <f>IF(ISBLANK($BG16),"-",(IF(BD16="-","-",BD16*(Lists!$K$10/100))))</f>
        <v>-</v>
      </c>
      <c r="BJ16" s="104" t="str">
        <f>IF(ISBLANK($BH16),"-",(IF(BD16="-","-",BD16*(Lists!$K$11/100))))</f>
        <v>-</v>
      </c>
      <c r="BK16" s="104" t="str">
        <f>IF(ISBLANK($BG16),"-",(IF(BE16="-","-",BE16*(Lists!$K$10/100))))</f>
        <v>-</v>
      </c>
      <c r="BL16" s="104" t="str">
        <f>IF(ISBLANK($BH16),"-",(IF(BE16="-","-",BE16*(Lists!$K$11/100))))</f>
        <v>-</v>
      </c>
      <c r="BM16" s="136"/>
      <c r="BN16" s="136"/>
      <c r="BO16" s="104" t="str">
        <f>IF(ISBLANK(BM16),"-",((Lists!$K$19/100)*(IF(BD16&lt;&gt;"-",BD16,BE16))))</f>
        <v>-</v>
      </c>
      <c r="BP16" s="104" t="str">
        <f>IF(ISBLANK(BN16),"-",((Lists!$K$20/100)*(IF(BD16&lt;&gt;"-",BD16,BE16))))</f>
        <v>-</v>
      </c>
    </row>
    <row r="17" spans="1:68" s="108" customFormat="1" ht="38.25" x14ac:dyDescent="0.25">
      <c r="A17" s="128" t="s">
        <v>88</v>
      </c>
      <c r="B17" s="97"/>
      <c r="C17" s="97" t="s">
        <v>116</v>
      </c>
      <c r="D17" s="97" t="s">
        <v>36</v>
      </c>
      <c r="E17" s="97">
        <v>188</v>
      </c>
      <c r="F17" s="97" t="s">
        <v>110</v>
      </c>
      <c r="G17" s="97">
        <v>188</v>
      </c>
      <c r="H17" s="97" t="s">
        <v>295</v>
      </c>
      <c r="I17" s="105"/>
      <c r="J17" s="96" t="s">
        <v>138</v>
      </c>
      <c r="K17" s="96" t="s">
        <v>334</v>
      </c>
      <c r="L17" s="106">
        <v>30</v>
      </c>
      <c r="M17" s="137"/>
      <c r="N17" s="137"/>
      <c r="O17" s="137"/>
      <c r="P17" s="137"/>
      <c r="Q17" s="137"/>
      <c r="R17" s="137"/>
      <c r="S17" s="137"/>
      <c r="T17" s="137" t="s">
        <v>15</v>
      </c>
      <c r="U17" s="96" t="s">
        <v>329</v>
      </c>
      <c r="V17" s="100"/>
      <c r="W17" s="100"/>
      <c r="X17" s="100"/>
      <c r="Y17" s="100"/>
      <c r="Z17" s="100"/>
      <c r="AA17" s="100"/>
      <c r="AB17" s="100"/>
      <c r="AC17" s="100"/>
      <c r="AD17" s="100"/>
      <c r="AE17" s="100"/>
      <c r="AF17" s="100"/>
      <c r="AG17" s="100"/>
      <c r="AH17" s="100"/>
      <c r="AI17" s="100"/>
      <c r="AJ17" s="100"/>
      <c r="AK17" s="100"/>
      <c r="AL17" s="100"/>
      <c r="AM17" s="100"/>
      <c r="AN17" s="100"/>
      <c r="AO17" s="100" t="s">
        <v>299</v>
      </c>
      <c r="AP17" s="100"/>
      <c r="AQ17" s="100"/>
      <c r="AR17" s="100"/>
      <c r="AS17" s="100"/>
      <c r="AT17" s="100"/>
      <c r="AU17" s="100"/>
      <c r="AV17" s="100"/>
      <c r="AW17" s="100"/>
      <c r="AX17" s="100"/>
      <c r="AY17" s="100"/>
      <c r="AZ17" s="100"/>
      <c r="BA17" s="100"/>
      <c r="BB17" s="107"/>
      <c r="BC17" s="102">
        <f>IF((SUMPRODUCT(--(V17:AV17&lt;&gt;""))=0),"0",(VLOOKUP((MATCH("X",$V17:$AV17,0)), Lists!$E$13:$G$39,3)))</f>
        <v>242</v>
      </c>
      <c r="BD17" s="103">
        <f t="shared" si="0"/>
        <v>45496</v>
      </c>
      <c r="BE17" s="103" t="str">
        <f t="shared" si="1"/>
        <v>-</v>
      </c>
      <c r="BF17" s="138"/>
      <c r="BG17" s="137"/>
      <c r="BH17" s="137"/>
      <c r="BI17" s="104" t="str">
        <f>IF(ISBLANK($BG17),"-",(IF(BD17="-","-",BD17*(Lists!$K$10/100))))</f>
        <v>-</v>
      </c>
      <c r="BJ17" s="104" t="str">
        <f>IF(ISBLANK($BH17),"-",(IF(BD17="-","-",BD17*(Lists!$K$11/100))))</f>
        <v>-</v>
      </c>
      <c r="BK17" s="104" t="str">
        <f>IF(ISBLANK($BG17),"-",(IF(BE17="-","-",BE17*(Lists!$K$10/100))))</f>
        <v>-</v>
      </c>
      <c r="BL17" s="104" t="str">
        <f>IF(ISBLANK($BH17),"-",(IF(BE17="-","-",BE17*(Lists!$K$11/100))))</f>
        <v>-</v>
      </c>
      <c r="BM17" s="137"/>
      <c r="BN17" s="137"/>
      <c r="BO17" s="104" t="str">
        <f>IF(ISBLANK(BM17),"-",((Lists!$K$19/100)*(IF(BD17&lt;&gt;"-",BD17,BE17))))</f>
        <v>-</v>
      </c>
      <c r="BP17" s="104" t="str">
        <f>IF(ISBLANK(BN17),"-",((Lists!$K$20/100)*(IF(BD17&lt;&gt;"-",BD17,BE17))))</f>
        <v>-</v>
      </c>
    </row>
    <row r="18" spans="1:68" s="108" customFormat="1" ht="51" x14ac:dyDescent="0.25">
      <c r="A18" s="105" t="s">
        <v>88</v>
      </c>
      <c r="B18" s="105"/>
      <c r="C18" s="97" t="s">
        <v>116</v>
      </c>
      <c r="D18" s="106" t="s">
        <v>116</v>
      </c>
      <c r="E18" s="97" t="s">
        <v>110</v>
      </c>
      <c r="F18" s="97" t="s">
        <v>110</v>
      </c>
      <c r="G18" s="97">
        <v>1</v>
      </c>
      <c r="H18" s="97" t="s">
        <v>294</v>
      </c>
      <c r="I18" s="105"/>
      <c r="J18" s="99" t="s">
        <v>449</v>
      </c>
      <c r="K18" s="96" t="s">
        <v>334</v>
      </c>
      <c r="L18" s="106">
        <v>30</v>
      </c>
      <c r="M18" s="98"/>
      <c r="N18" s="98"/>
      <c r="O18" s="98"/>
      <c r="P18" s="98"/>
      <c r="Q18" s="137"/>
      <c r="R18" s="98"/>
      <c r="S18" s="98"/>
      <c r="T18" s="137" t="s">
        <v>15</v>
      </c>
      <c r="U18" s="99" t="s">
        <v>486</v>
      </c>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t="s">
        <v>299</v>
      </c>
      <c r="AZ18" s="100"/>
      <c r="BA18" s="100"/>
      <c r="BB18" s="134">
        <v>18950</v>
      </c>
      <c r="BC18" s="102" t="str">
        <f>IF((SUMPRODUCT(--(V18:AV18&lt;&gt;""))=0),"0",(VLOOKUP((MATCH("X",$V18:$AV18,0)), Lists!$E$13:$G$39,3)))</f>
        <v>0</v>
      </c>
      <c r="BD18" s="103">
        <f t="shared" si="0"/>
        <v>18950</v>
      </c>
      <c r="BE18" s="103" t="str">
        <f t="shared" si="1"/>
        <v>-</v>
      </c>
      <c r="BF18" s="94" t="s">
        <v>470</v>
      </c>
      <c r="BG18" s="98"/>
      <c r="BH18" s="98"/>
      <c r="BI18" s="104" t="str">
        <f>IF(ISBLANK($BG18),"-",(IF(BD18="-","-",BD18*(Lists!$K$10/100))))</f>
        <v>-</v>
      </c>
      <c r="BJ18" s="104" t="str">
        <f>IF(ISBLANK($BH18),"-",(IF(BD18="-","-",BD18*(Lists!$K$11/100))))</f>
        <v>-</v>
      </c>
      <c r="BK18" s="104" t="str">
        <f>IF(ISBLANK($BG18),"-",(IF(BE18="-","-",BE18*(Lists!$K$10/100))))</f>
        <v>-</v>
      </c>
      <c r="BL18" s="104" t="str">
        <f>IF(ISBLANK($BH18),"-",(IF(BE18="-","-",BE18*(Lists!$K$11/100))))</f>
        <v>-</v>
      </c>
      <c r="BM18" s="98"/>
      <c r="BN18" s="98"/>
      <c r="BO18" s="104" t="str">
        <f>IF(ISBLANK(BM18),"-",((Lists!$K$19/100)*(IF(BD18&lt;&gt;"-",BD18,BE18))))</f>
        <v>-</v>
      </c>
      <c r="BP18" s="104" t="str">
        <f>IF(ISBLANK(BN18),"-",((Lists!$K$20/100)*(IF(BD18&lt;&gt;"-",BD18,BE18))))</f>
        <v>-</v>
      </c>
    </row>
    <row r="19" spans="1:68" s="108" customFormat="1" ht="63.75" x14ac:dyDescent="0.25">
      <c r="A19" s="105" t="s">
        <v>88</v>
      </c>
      <c r="B19" s="105"/>
      <c r="C19" s="97" t="s">
        <v>36</v>
      </c>
      <c r="D19" s="106" t="s">
        <v>36</v>
      </c>
      <c r="E19" s="97" t="s">
        <v>110</v>
      </c>
      <c r="F19" s="97" t="s">
        <v>110</v>
      </c>
      <c r="G19" s="97">
        <v>1</v>
      </c>
      <c r="H19" s="97" t="s">
        <v>294</v>
      </c>
      <c r="I19" s="105"/>
      <c r="J19" s="99" t="s">
        <v>307</v>
      </c>
      <c r="K19" s="96" t="s">
        <v>334</v>
      </c>
      <c r="L19" s="106">
        <v>30</v>
      </c>
      <c r="M19" s="98"/>
      <c r="N19" s="98" t="s">
        <v>15</v>
      </c>
      <c r="O19" s="98"/>
      <c r="P19" s="98"/>
      <c r="Q19" s="98"/>
      <c r="R19" s="98"/>
      <c r="S19" s="98"/>
      <c r="T19" s="98"/>
      <c r="U19" s="99" t="s">
        <v>330</v>
      </c>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t="s">
        <v>299</v>
      </c>
      <c r="AZ19" s="100"/>
      <c r="BA19" s="100"/>
      <c r="BB19" s="134">
        <v>96500</v>
      </c>
      <c r="BC19" s="102" t="str">
        <f>IF((SUMPRODUCT(--(V19:AV19&lt;&gt;""))=0),"0",(VLOOKUP((MATCH("X",$V19:$AV19,0)), Lists!$E$13:$G$39,3)))</f>
        <v>0</v>
      </c>
      <c r="BD19" s="103">
        <f t="shared" si="0"/>
        <v>96500</v>
      </c>
      <c r="BE19" s="103" t="str">
        <f t="shared" si="1"/>
        <v>-</v>
      </c>
      <c r="BF19" s="94" t="s">
        <v>471</v>
      </c>
      <c r="BG19" s="98"/>
      <c r="BH19" s="98"/>
      <c r="BI19" s="104" t="str">
        <f>IF(ISBLANK($BG19),"-",(IF(BD19="-","-",BD19*(Lists!$K$10/100))))</f>
        <v>-</v>
      </c>
      <c r="BJ19" s="104" t="str">
        <f>IF(ISBLANK($BH19),"-",(IF(BD19="-","-",BD19*(Lists!$K$11/100))))</f>
        <v>-</v>
      </c>
      <c r="BK19" s="104" t="str">
        <f>IF(ISBLANK($BG19),"-",(IF(BE19="-","-",BE19*(Lists!$K$10/100))))</f>
        <v>-</v>
      </c>
      <c r="BL19" s="104" t="str">
        <f>IF(ISBLANK($BH19),"-",(IF(BE19="-","-",BE19*(Lists!$K$11/100))))</f>
        <v>-</v>
      </c>
      <c r="BM19" s="98"/>
      <c r="BN19" s="98"/>
      <c r="BO19" s="104" t="str">
        <f>IF(ISBLANK(BM19),"-",((Lists!$K$19/100)*(IF(BD19&lt;&gt;"-",BD19,BE19))))</f>
        <v>-</v>
      </c>
      <c r="BP19" s="104" t="str">
        <f>IF(ISBLANK(BN19),"-",((Lists!$K$20/100)*(IF(BD19&lt;&gt;"-",BD19,BE19))))</f>
        <v>-</v>
      </c>
    </row>
    <row r="20" spans="1:68" s="72" customFormat="1" ht="25.5" x14ac:dyDescent="0.25">
      <c r="A20" s="128" t="s">
        <v>88</v>
      </c>
      <c r="B20" s="128"/>
      <c r="C20" s="307" t="s">
        <v>25</v>
      </c>
      <c r="D20" s="307" t="s">
        <v>109</v>
      </c>
      <c r="E20" s="307">
        <v>206</v>
      </c>
      <c r="F20" s="97" t="s">
        <v>110</v>
      </c>
      <c r="G20" s="97">
        <v>206</v>
      </c>
      <c r="H20" s="97" t="s">
        <v>295</v>
      </c>
      <c r="I20" s="105"/>
      <c r="J20" s="99" t="s">
        <v>308</v>
      </c>
      <c r="K20" s="330" t="s">
        <v>582</v>
      </c>
      <c r="L20" s="307">
        <v>30</v>
      </c>
      <c r="M20" s="320" t="s">
        <v>15</v>
      </c>
      <c r="N20" s="320" t="s">
        <v>15</v>
      </c>
      <c r="O20" s="321"/>
      <c r="P20" s="321"/>
      <c r="Q20" s="321"/>
      <c r="R20" s="321"/>
      <c r="S20" s="321"/>
      <c r="T20" s="321"/>
      <c r="U20" s="330" t="s">
        <v>288</v>
      </c>
      <c r="V20" s="100"/>
      <c r="W20" s="100"/>
      <c r="X20" s="100"/>
      <c r="Y20" s="100"/>
      <c r="Z20" s="100"/>
      <c r="AA20" s="100"/>
      <c r="AB20" s="100"/>
      <c r="AC20" s="100"/>
      <c r="AD20" s="100"/>
      <c r="AE20" s="100"/>
      <c r="AF20" s="100"/>
      <c r="AG20" s="100"/>
      <c r="AH20" s="100"/>
      <c r="AI20" s="100"/>
      <c r="AJ20" s="100" t="s">
        <v>299</v>
      </c>
      <c r="AK20" s="100"/>
      <c r="AL20" s="100"/>
      <c r="AM20" s="100"/>
      <c r="AN20" s="100"/>
      <c r="AO20" s="100"/>
      <c r="AP20" s="100"/>
      <c r="AQ20" s="100"/>
      <c r="AR20" s="100"/>
      <c r="AS20" s="100"/>
      <c r="AT20" s="100"/>
      <c r="AU20" s="100"/>
      <c r="AV20" s="100"/>
      <c r="AW20" s="100"/>
      <c r="AX20" s="100"/>
      <c r="AY20" s="100"/>
      <c r="AZ20" s="100"/>
      <c r="BA20" s="100"/>
      <c r="BB20" s="107"/>
      <c r="BC20" s="102">
        <f>IF((SUMPRODUCT(--(V20:AV20&lt;&gt;""))=0),"0",(VLOOKUP((MATCH("X",$V20:$AV20,0)), Lists!$E$13:$G$39,3)))</f>
        <v>36</v>
      </c>
      <c r="BD20" s="103">
        <f t="shared" si="0"/>
        <v>7416</v>
      </c>
      <c r="BE20" s="103" t="str">
        <f t="shared" si="1"/>
        <v>-</v>
      </c>
      <c r="BF20" s="94"/>
      <c r="BG20" s="98" t="s">
        <v>15</v>
      </c>
      <c r="BH20" s="98" t="s">
        <v>15</v>
      </c>
      <c r="BI20" s="104">
        <f>IF(ISBLANK($BG20),"-",(IF(BD20="-","-",BD20*(Lists!$K$10/100))))</f>
        <v>1112.3999999999999</v>
      </c>
      <c r="BJ20" s="104">
        <f>IF(ISBLANK($BH20),"-",(IF(BD20="-","-",BD20*(Lists!$K$11/100))))</f>
        <v>741.6</v>
      </c>
      <c r="BK20" s="104" t="str">
        <f>IF(ISBLANK($BG20),"-",(IF(BE20="-","-",BE20*(Lists!$K$10/100))))</f>
        <v>-</v>
      </c>
      <c r="BL20" s="104" t="str">
        <f>IF(ISBLANK($BH20),"-",(IF(BE20="-","-",BE20*(Lists!$K$11/100))))</f>
        <v>-</v>
      </c>
      <c r="BM20" s="129"/>
      <c r="BN20" s="98" t="s">
        <v>15</v>
      </c>
      <c r="BO20" s="104" t="str">
        <f>IF(ISBLANK(BM20),"-",((Lists!$K$19/100)*(IF(BD20&lt;&gt;"-",BD20,BE20))))</f>
        <v>-</v>
      </c>
      <c r="BP20" s="104">
        <f>IF(ISBLANK(BN20),"-",((Lists!$K$20/100)*(IF(BD20&lt;&gt;"-",BD20,BE20))))</f>
        <v>370.8</v>
      </c>
    </row>
    <row r="21" spans="1:68" s="72" customFormat="1" ht="25.5" x14ac:dyDescent="0.25">
      <c r="A21" s="128" t="s">
        <v>88</v>
      </c>
      <c r="B21" s="128"/>
      <c r="C21" s="313"/>
      <c r="D21" s="313"/>
      <c r="E21" s="313"/>
      <c r="F21" s="97" t="s">
        <v>110</v>
      </c>
      <c r="G21" s="97">
        <v>206</v>
      </c>
      <c r="H21" s="97" t="s">
        <v>295</v>
      </c>
      <c r="I21" s="105"/>
      <c r="J21" s="99" t="s">
        <v>494</v>
      </c>
      <c r="K21" s="337"/>
      <c r="L21" s="313"/>
      <c r="M21" s="321"/>
      <c r="N21" s="321"/>
      <c r="O21" s="321"/>
      <c r="P21" s="321"/>
      <c r="Q21" s="321"/>
      <c r="R21" s="321"/>
      <c r="S21" s="321"/>
      <c r="T21" s="321"/>
      <c r="U21" s="337"/>
      <c r="V21" s="100"/>
      <c r="W21" s="100"/>
      <c r="X21" s="100"/>
      <c r="Y21" s="100"/>
      <c r="Z21" s="100"/>
      <c r="AA21" s="100"/>
      <c r="AB21" s="100"/>
      <c r="AC21" s="100"/>
      <c r="AD21" s="100"/>
      <c r="AE21" s="100"/>
      <c r="AF21" s="100"/>
      <c r="AG21" s="100"/>
      <c r="AH21" s="100"/>
      <c r="AI21" s="100"/>
      <c r="AJ21" s="100"/>
      <c r="AK21" s="100"/>
      <c r="AL21" s="100"/>
      <c r="AM21" s="100" t="s">
        <v>299</v>
      </c>
      <c r="AN21" s="100"/>
      <c r="AO21" s="100"/>
      <c r="AP21" s="100"/>
      <c r="AQ21" s="100"/>
      <c r="AR21" s="100"/>
      <c r="AS21" s="100"/>
      <c r="AT21" s="100"/>
      <c r="AU21" s="100"/>
      <c r="AV21" s="100"/>
      <c r="AW21" s="100"/>
      <c r="AX21" s="100"/>
      <c r="AY21" s="100"/>
      <c r="AZ21" s="100"/>
      <c r="BA21" s="100"/>
      <c r="BB21" s="107"/>
      <c r="BC21" s="102">
        <f>IF((SUMPRODUCT(--(V21:AV21&lt;&gt;""))=0),"0",(VLOOKUP((MATCH("X",$V21:$AV21,0)), Lists!$E$13:$G$39,3)))</f>
        <v>50</v>
      </c>
      <c r="BD21" s="103">
        <f t="shared" si="0"/>
        <v>10300</v>
      </c>
      <c r="BE21" s="103" t="str">
        <f t="shared" si="1"/>
        <v>-</v>
      </c>
      <c r="BF21" s="94"/>
      <c r="BG21" s="98" t="s">
        <v>15</v>
      </c>
      <c r="BH21" s="98" t="s">
        <v>15</v>
      </c>
      <c r="BI21" s="104">
        <f>IF(ISBLANK($BG21),"-",(IF(BD21="-","-",BD21*(Lists!$K$10/100))))</f>
        <v>1545</v>
      </c>
      <c r="BJ21" s="104">
        <f>IF(ISBLANK($BH21),"-",(IF(BD21="-","-",BD21*(Lists!$K$11/100))))</f>
        <v>1030</v>
      </c>
      <c r="BK21" s="104" t="str">
        <f>IF(ISBLANK($BG21),"-",(IF(BE21="-","-",BE21*(Lists!$K$10/100))))</f>
        <v>-</v>
      </c>
      <c r="BL21" s="104" t="str">
        <f>IF(ISBLANK($BH21),"-",(IF(BE21="-","-",BE21*(Lists!$K$11/100))))</f>
        <v>-</v>
      </c>
      <c r="BM21" s="129"/>
      <c r="BN21" s="98" t="s">
        <v>15</v>
      </c>
      <c r="BO21" s="104" t="str">
        <f>IF(ISBLANK(BM21),"-",((Lists!$K$19/100)*(IF(BD21&lt;&gt;"-",BD21,BE21))))</f>
        <v>-</v>
      </c>
      <c r="BP21" s="104">
        <f>IF(ISBLANK(BN21),"-",((Lists!$K$20/100)*(IF(BD21&lt;&gt;"-",BD21,BE21))))</f>
        <v>515</v>
      </c>
    </row>
    <row r="22" spans="1:68" s="72" customFormat="1" ht="25.5" x14ac:dyDescent="0.25">
      <c r="A22" s="128" t="s">
        <v>88</v>
      </c>
      <c r="B22" s="128"/>
      <c r="C22" s="308"/>
      <c r="D22" s="308"/>
      <c r="E22" s="308"/>
      <c r="F22" s="97" t="s">
        <v>110</v>
      </c>
      <c r="G22" s="97">
        <v>206</v>
      </c>
      <c r="H22" s="97" t="s">
        <v>295</v>
      </c>
      <c r="I22" s="105"/>
      <c r="J22" s="99" t="s">
        <v>309</v>
      </c>
      <c r="K22" s="331"/>
      <c r="L22" s="308"/>
      <c r="M22" s="327"/>
      <c r="N22" s="327"/>
      <c r="O22" s="327"/>
      <c r="P22" s="327"/>
      <c r="Q22" s="327"/>
      <c r="R22" s="327"/>
      <c r="S22" s="327"/>
      <c r="T22" s="327"/>
      <c r="U22" s="331"/>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t="s">
        <v>299</v>
      </c>
      <c r="AR22" s="100"/>
      <c r="AS22" s="100"/>
      <c r="AT22" s="100"/>
      <c r="AU22" s="100"/>
      <c r="AV22" s="100"/>
      <c r="AW22" s="100"/>
      <c r="AX22" s="100"/>
      <c r="AY22" s="100"/>
      <c r="AZ22" s="100"/>
      <c r="BA22" s="100"/>
      <c r="BB22" s="107"/>
      <c r="BC22" s="102">
        <f>IF((SUMPRODUCT(--(V22:AV22&lt;&gt;""))=0),"0",(VLOOKUP((MATCH("X",$V22:$AV22,0)), Lists!$E$13:$G$39,3)))</f>
        <v>1525</v>
      </c>
      <c r="BD22" s="103">
        <f t="shared" si="0"/>
        <v>314150</v>
      </c>
      <c r="BE22" s="103" t="str">
        <f t="shared" si="1"/>
        <v>-</v>
      </c>
      <c r="BF22" s="94"/>
      <c r="BG22" s="98" t="s">
        <v>15</v>
      </c>
      <c r="BH22" s="98" t="s">
        <v>15</v>
      </c>
      <c r="BI22" s="104">
        <f>IF(ISBLANK($BG22),"-",(IF(BD22="-","-",BD22*(Lists!$K$10/100))))</f>
        <v>47122.5</v>
      </c>
      <c r="BJ22" s="104">
        <f>IF(ISBLANK($BH22),"-",(IF(BD22="-","-",BD22*(Lists!$K$11/100))))</f>
        <v>31415</v>
      </c>
      <c r="BK22" s="104" t="str">
        <f>IF(ISBLANK($BG22),"-",(IF(BE22="-","-",BE22*(Lists!$K$10/100))))</f>
        <v>-</v>
      </c>
      <c r="BL22" s="104" t="str">
        <f>IF(ISBLANK($BH22),"-",(IF(BE22="-","-",BE22*(Lists!$K$11/100))))</f>
        <v>-</v>
      </c>
      <c r="BM22" s="129"/>
      <c r="BN22" s="98" t="s">
        <v>15</v>
      </c>
      <c r="BO22" s="104" t="str">
        <f>IF(ISBLANK(BM22),"-",((Lists!$K$19/100)*(IF(BD22&lt;&gt;"-",BD22,BE22))))</f>
        <v>-</v>
      </c>
      <c r="BP22" s="104">
        <f>IF(ISBLANK(BN22),"-",((Lists!$K$20/100)*(IF(BD22&lt;&gt;"-",BD22,BE22))))</f>
        <v>15707.5</v>
      </c>
    </row>
    <row r="23" spans="1:68" s="72" customFormat="1" ht="25.5" x14ac:dyDescent="0.25">
      <c r="A23" s="130" t="s">
        <v>88</v>
      </c>
      <c r="B23" s="128"/>
      <c r="C23" s="307" t="s">
        <v>109</v>
      </c>
      <c r="D23" s="307" t="s">
        <v>26</v>
      </c>
      <c r="E23" s="97">
        <v>376</v>
      </c>
      <c r="F23" s="97" t="s">
        <v>110</v>
      </c>
      <c r="G23" s="97">
        <v>376</v>
      </c>
      <c r="H23" s="97" t="s">
        <v>295</v>
      </c>
      <c r="I23" s="364"/>
      <c r="J23" s="99" t="s">
        <v>310</v>
      </c>
      <c r="K23" s="314" t="s">
        <v>335</v>
      </c>
      <c r="L23" s="307"/>
      <c r="M23" s="320" t="s">
        <v>15</v>
      </c>
      <c r="N23" s="320"/>
      <c r="O23" s="320"/>
      <c r="P23" s="320"/>
      <c r="Q23" s="320" t="s">
        <v>15</v>
      </c>
      <c r="R23" s="320"/>
      <c r="S23" s="320" t="s">
        <v>15</v>
      </c>
      <c r="T23" s="320"/>
      <c r="U23" s="330" t="s">
        <v>314</v>
      </c>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t="s">
        <v>299</v>
      </c>
      <c r="AS23" s="100"/>
      <c r="AT23" s="100"/>
      <c r="AU23" s="100"/>
      <c r="AV23" s="100"/>
      <c r="AW23" s="100"/>
      <c r="AX23" s="100"/>
      <c r="AY23" s="100"/>
      <c r="AZ23" s="100"/>
      <c r="BA23" s="100"/>
      <c r="BB23" s="107"/>
      <c r="BC23" s="102">
        <f>IF((SUMPRODUCT(--(V23:AV23&lt;&gt;""))=0),"0",(VLOOKUP((MATCH("X",$V23:$AV23,0)), Lists!$E$13:$G$39,3)))</f>
        <v>510</v>
      </c>
      <c r="BD23" s="103">
        <f t="shared" si="0"/>
        <v>191760</v>
      </c>
      <c r="BE23" s="103" t="str">
        <f t="shared" si="1"/>
        <v>-</v>
      </c>
      <c r="BF23" s="94"/>
      <c r="BG23" s="98" t="s">
        <v>15</v>
      </c>
      <c r="BH23" s="132" t="s">
        <v>15</v>
      </c>
      <c r="BI23" s="104">
        <f>IF(ISBLANK($BG23),"-",(IF(BD23="-","-",BD23*(Lists!$K$10/100))))</f>
        <v>28764</v>
      </c>
      <c r="BJ23" s="104">
        <f>IF(ISBLANK($BH23),"-",(IF(BD23="-","-",BD23*(Lists!$K$11/100))))</f>
        <v>19176</v>
      </c>
      <c r="BK23" s="104" t="str">
        <f>IF(ISBLANK($BG23),"-",(IF(BE23="-","-",BE23*(Lists!$K$10/100))))</f>
        <v>-</v>
      </c>
      <c r="BL23" s="104" t="str">
        <f>IF(ISBLANK($BH23),"-",(IF(BE23="-","-",BE23*(Lists!$K$11/100))))</f>
        <v>-</v>
      </c>
      <c r="BM23" s="133"/>
      <c r="BN23" s="98" t="s">
        <v>15</v>
      </c>
      <c r="BO23" s="104" t="str">
        <f>IF(ISBLANK(BM23),"-",((Lists!$K$19/100)*(IF(BD23&lt;&gt;"-",BD23,BE23))))</f>
        <v>-</v>
      </c>
      <c r="BP23" s="104">
        <f>IF(ISBLANK(BN23),"-",((Lists!$K$20/100)*(IF(BD23&lt;&gt;"-",BD23,BE23))))</f>
        <v>9588</v>
      </c>
    </row>
    <row r="24" spans="1:68" s="72" customFormat="1" ht="25.5" x14ac:dyDescent="0.25">
      <c r="A24" s="130" t="s">
        <v>88</v>
      </c>
      <c r="B24" s="128"/>
      <c r="C24" s="313"/>
      <c r="D24" s="313"/>
      <c r="E24" s="97">
        <v>752</v>
      </c>
      <c r="F24" s="97" t="s">
        <v>110</v>
      </c>
      <c r="G24" s="97">
        <v>752</v>
      </c>
      <c r="H24" s="97" t="s">
        <v>295</v>
      </c>
      <c r="I24" s="364"/>
      <c r="J24" s="99" t="s">
        <v>311</v>
      </c>
      <c r="K24" s="315"/>
      <c r="L24" s="313"/>
      <c r="M24" s="321"/>
      <c r="N24" s="321"/>
      <c r="O24" s="321"/>
      <c r="P24" s="321"/>
      <c r="Q24" s="321"/>
      <c r="R24" s="321"/>
      <c r="S24" s="321"/>
      <c r="T24" s="321"/>
      <c r="U24" s="366"/>
      <c r="V24" s="100"/>
      <c r="W24" s="100"/>
      <c r="X24" s="100"/>
      <c r="Y24" s="100"/>
      <c r="Z24" s="100"/>
      <c r="AA24" s="100"/>
      <c r="AB24" s="100"/>
      <c r="AC24" s="100"/>
      <c r="AD24" s="100"/>
      <c r="AE24" s="100"/>
      <c r="AF24" s="100"/>
      <c r="AG24" s="100"/>
      <c r="AH24" s="100"/>
      <c r="AI24" s="100"/>
      <c r="AJ24" s="100" t="s">
        <v>299</v>
      </c>
      <c r="AK24" s="100"/>
      <c r="AL24" s="100"/>
      <c r="AM24" s="100"/>
      <c r="AN24" s="100"/>
      <c r="AO24" s="100"/>
      <c r="AP24" s="100"/>
      <c r="AQ24" s="100"/>
      <c r="AR24" s="100"/>
      <c r="AS24" s="100"/>
      <c r="AT24" s="100"/>
      <c r="AU24" s="100"/>
      <c r="AV24" s="100"/>
      <c r="AW24" s="100"/>
      <c r="AX24" s="100"/>
      <c r="AY24" s="100"/>
      <c r="AZ24" s="100"/>
      <c r="BA24" s="100"/>
      <c r="BB24" s="107"/>
      <c r="BC24" s="102">
        <f>IF((SUMPRODUCT(--(V24:AV24&lt;&gt;""))=0),"0",(VLOOKUP((MATCH("X",$V24:$AV24,0)), Lists!$E$13:$G$39,3)))</f>
        <v>36</v>
      </c>
      <c r="BD24" s="103">
        <f t="shared" si="0"/>
        <v>27072</v>
      </c>
      <c r="BE24" s="103" t="str">
        <f t="shared" si="1"/>
        <v>-</v>
      </c>
      <c r="BF24" s="94"/>
      <c r="BG24" s="98" t="s">
        <v>15</v>
      </c>
      <c r="BH24" s="132" t="s">
        <v>15</v>
      </c>
      <c r="BI24" s="104">
        <f>IF(ISBLANK($BG24),"-",(IF(BD24="-","-",BD24*(Lists!$K$10/100))))</f>
        <v>4060.7999999999997</v>
      </c>
      <c r="BJ24" s="104">
        <f>IF(ISBLANK($BH24),"-",(IF(BD24="-","-",BD24*(Lists!$K$11/100))))</f>
        <v>2707.2000000000003</v>
      </c>
      <c r="BK24" s="104" t="str">
        <f>IF(ISBLANK($BG24),"-",(IF(BE24="-","-",BE24*(Lists!$K$10/100))))</f>
        <v>-</v>
      </c>
      <c r="BL24" s="104" t="str">
        <f>IF(ISBLANK($BH24),"-",(IF(BE24="-","-",BE24*(Lists!$K$11/100))))</f>
        <v>-</v>
      </c>
      <c r="BM24" s="136"/>
      <c r="BN24" s="98" t="s">
        <v>15</v>
      </c>
      <c r="BO24" s="104" t="str">
        <f>IF(ISBLANK(BM24),"-",((Lists!$K$19/100)*(IF(BD24&lt;&gt;"-",BD24,BE24))))</f>
        <v>-</v>
      </c>
      <c r="BP24" s="104">
        <f>IF(ISBLANK(BN24),"-",((Lists!$K$20/100)*(IF(BD24&lt;&gt;"-",BD24,BE24))))</f>
        <v>1353.6000000000001</v>
      </c>
    </row>
    <row r="25" spans="1:68" s="72" customFormat="1" ht="25.5" x14ac:dyDescent="0.25">
      <c r="A25" s="130" t="s">
        <v>88</v>
      </c>
      <c r="B25" s="139"/>
      <c r="C25" s="312"/>
      <c r="D25" s="312"/>
      <c r="E25" s="97">
        <v>376</v>
      </c>
      <c r="F25" s="97" t="s">
        <v>110</v>
      </c>
      <c r="G25" s="97">
        <v>376</v>
      </c>
      <c r="H25" s="97" t="s">
        <v>295</v>
      </c>
      <c r="I25" s="105"/>
      <c r="J25" s="99" t="s">
        <v>494</v>
      </c>
      <c r="K25" s="316"/>
      <c r="L25" s="317"/>
      <c r="M25" s="327"/>
      <c r="N25" s="327"/>
      <c r="O25" s="327"/>
      <c r="P25" s="327"/>
      <c r="Q25" s="327"/>
      <c r="R25" s="327"/>
      <c r="S25" s="327"/>
      <c r="T25" s="327"/>
      <c r="U25" s="367"/>
      <c r="V25" s="100"/>
      <c r="W25" s="100"/>
      <c r="X25" s="100"/>
      <c r="Y25" s="100"/>
      <c r="Z25" s="100"/>
      <c r="AA25" s="100"/>
      <c r="AB25" s="100"/>
      <c r="AC25" s="100"/>
      <c r="AD25" s="100"/>
      <c r="AE25" s="100"/>
      <c r="AF25" s="100"/>
      <c r="AG25" s="100"/>
      <c r="AH25" s="100"/>
      <c r="AI25" s="100"/>
      <c r="AJ25" s="100"/>
      <c r="AK25" s="100"/>
      <c r="AL25" s="100"/>
      <c r="AM25" s="100" t="s">
        <v>299</v>
      </c>
      <c r="AN25" s="100"/>
      <c r="AO25" s="100"/>
      <c r="AP25" s="100"/>
      <c r="AQ25" s="100"/>
      <c r="AR25" s="100"/>
      <c r="AS25" s="100"/>
      <c r="AT25" s="100"/>
      <c r="AU25" s="100"/>
      <c r="AV25" s="100"/>
      <c r="AW25" s="100"/>
      <c r="AX25" s="100"/>
      <c r="AY25" s="100"/>
      <c r="AZ25" s="100"/>
      <c r="BA25" s="100"/>
      <c r="BB25" s="107"/>
      <c r="BC25" s="102">
        <f>IF((SUMPRODUCT(--(V25:AV25&lt;&gt;""))=0),"0",(VLOOKUP((MATCH("X",$V25:$AV25,0)), Lists!$E$13:$G$39,3)))</f>
        <v>50</v>
      </c>
      <c r="BD25" s="103">
        <f t="shared" si="0"/>
        <v>18800</v>
      </c>
      <c r="BE25" s="103" t="str">
        <f t="shared" si="1"/>
        <v>-</v>
      </c>
      <c r="BF25" s="94"/>
      <c r="BG25" s="98" t="s">
        <v>15</v>
      </c>
      <c r="BH25" s="132" t="s">
        <v>15</v>
      </c>
      <c r="BI25" s="104">
        <f>IF(ISBLANK($BG25),"-",(IF(BD25="-","-",BD25*(Lists!$K$10/100))))</f>
        <v>2820</v>
      </c>
      <c r="BJ25" s="104">
        <f>IF(ISBLANK($BH25),"-",(IF(BD25="-","-",BD25*(Lists!$K$11/100))))</f>
        <v>1880</v>
      </c>
      <c r="BK25" s="104" t="str">
        <f>IF(ISBLANK($BG25),"-",(IF(BE25="-","-",BE25*(Lists!$K$10/100))))</f>
        <v>-</v>
      </c>
      <c r="BL25" s="104" t="str">
        <f>IF(ISBLANK($BH25),"-",(IF(BE25="-","-",BE25*(Lists!$K$11/100))))</f>
        <v>-</v>
      </c>
      <c r="BM25" s="140"/>
      <c r="BN25" s="98" t="s">
        <v>15</v>
      </c>
      <c r="BO25" s="104" t="str">
        <f>IF(ISBLANK(BM25),"-",((Lists!$K$19/100)*(IF(BD25&lt;&gt;"-",BD25,BE25))))</f>
        <v>-</v>
      </c>
      <c r="BP25" s="104">
        <f>IF(ISBLANK(BN25),"-",((Lists!$K$20/100)*(IF(BD25&lt;&gt;"-",BD25,BE25))))</f>
        <v>940</v>
      </c>
    </row>
    <row r="26" spans="1:68" s="72" customFormat="1" ht="60" customHeight="1" x14ac:dyDescent="0.25">
      <c r="A26" s="130" t="s">
        <v>88</v>
      </c>
      <c r="B26" s="131"/>
      <c r="C26" s="130" t="s">
        <v>26</v>
      </c>
      <c r="D26" s="130" t="s">
        <v>27</v>
      </c>
      <c r="E26" s="97">
        <v>90</v>
      </c>
      <c r="F26" s="97">
        <v>5</v>
      </c>
      <c r="G26" s="97">
        <f>E26*F26</f>
        <v>450</v>
      </c>
      <c r="H26" s="97" t="s">
        <v>300</v>
      </c>
      <c r="I26" s="105"/>
      <c r="J26" s="99" t="s">
        <v>656</v>
      </c>
      <c r="K26" s="141" t="s">
        <v>429</v>
      </c>
      <c r="L26" s="97">
        <v>30</v>
      </c>
      <c r="M26" s="137"/>
      <c r="N26" s="133" t="s">
        <v>15</v>
      </c>
      <c r="O26" s="137"/>
      <c r="P26" s="137"/>
      <c r="Q26" s="137"/>
      <c r="R26" s="137"/>
      <c r="S26" s="137"/>
      <c r="T26" s="137"/>
      <c r="U26" s="141" t="s">
        <v>430</v>
      </c>
      <c r="V26" s="100"/>
      <c r="W26" s="100"/>
      <c r="X26" s="100"/>
      <c r="Y26" s="100"/>
      <c r="Z26" s="100"/>
      <c r="AA26" s="100"/>
      <c r="AB26" s="100"/>
      <c r="AC26" s="100"/>
      <c r="AD26" s="100"/>
      <c r="AE26" s="100"/>
      <c r="AF26" s="100"/>
      <c r="AG26" s="100"/>
      <c r="AH26" s="100"/>
      <c r="AI26" s="100" t="s">
        <v>299</v>
      </c>
      <c r="AJ26" s="100"/>
      <c r="AK26" s="100"/>
      <c r="AL26" s="100"/>
      <c r="AM26" s="100"/>
      <c r="AN26" s="100"/>
      <c r="AO26" s="100"/>
      <c r="AP26" s="100"/>
      <c r="AQ26" s="100"/>
      <c r="AR26" s="100"/>
      <c r="AS26" s="100"/>
      <c r="AT26" s="100"/>
      <c r="AU26" s="100"/>
      <c r="AV26" s="100"/>
      <c r="AW26" s="100"/>
      <c r="AX26" s="100"/>
      <c r="AY26" s="100"/>
      <c r="AZ26" s="100"/>
      <c r="BA26" s="100"/>
      <c r="BB26" s="107"/>
      <c r="BC26" s="102">
        <f>IF((SUMPRODUCT(--(V26:AV26&lt;&gt;""))=0),"0",(VLOOKUP((MATCH("X",$V26:$AV26,0)), Lists!$E$13:$G$39,3)))</f>
        <v>65</v>
      </c>
      <c r="BD26" s="103">
        <f t="shared" si="0"/>
        <v>29250</v>
      </c>
      <c r="BE26" s="103" t="str">
        <f t="shared" si="1"/>
        <v>-</v>
      </c>
      <c r="BF26" s="94"/>
      <c r="BG26" s="98" t="s">
        <v>15</v>
      </c>
      <c r="BH26" s="132" t="s">
        <v>15</v>
      </c>
      <c r="BI26" s="104">
        <f>IF(ISBLANK($BG26),"-",(IF(BD26="-","-",BD26*(Lists!$K$10/100))))</f>
        <v>4387.5</v>
      </c>
      <c r="BJ26" s="104">
        <f>IF(ISBLANK($BH26),"-",(IF(BD26="-","-",BD26*(Lists!$K$11/100))))</f>
        <v>2925</v>
      </c>
      <c r="BK26" s="104" t="str">
        <f>IF(ISBLANK($BG26),"-",(IF(BE26="-","-",BE26*(Lists!$K$10/100))))</f>
        <v>-</v>
      </c>
      <c r="BL26" s="104" t="str">
        <f>IF(ISBLANK($BH26),"-",(IF(BE26="-","-",BE26*(Lists!$K$11/100))))</f>
        <v>-</v>
      </c>
      <c r="BM26" s="142"/>
      <c r="BN26" s="98" t="s">
        <v>15</v>
      </c>
      <c r="BO26" s="104" t="str">
        <f>IF(ISBLANK(BM26),"-",((Lists!$K$19/100)*(IF(BD26&lt;&gt;"-",BD26,BE26))))</f>
        <v>-</v>
      </c>
      <c r="BP26" s="104">
        <f>IF(ISBLANK(BN26),"-",((Lists!$K$20/100)*(IF(BD26&lt;&gt;"-",BD26,BE26))))</f>
        <v>1462.5</v>
      </c>
    </row>
    <row r="27" spans="1:68" s="72" customFormat="1" ht="25.5" x14ac:dyDescent="0.25">
      <c r="A27" s="105" t="s">
        <v>88</v>
      </c>
      <c r="B27" s="105"/>
      <c r="C27" s="97" t="s">
        <v>27</v>
      </c>
      <c r="D27" s="143" t="s">
        <v>110</v>
      </c>
      <c r="E27" s="97" t="s">
        <v>110</v>
      </c>
      <c r="F27" s="97" t="s">
        <v>110</v>
      </c>
      <c r="G27" s="97">
        <v>1</v>
      </c>
      <c r="H27" s="97" t="s">
        <v>294</v>
      </c>
      <c r="I27" s="105"/>
      <c r="J27" s="99" t="s">
        <v>312</v>
      </c>
      <c r="K27" s="96" t="s">
        <v>334</v>
      </c>
      <c r="L27" s="97"/>
      <c r="M27" s="98"/>
      <c r="N27" s="98"/>
      <c r="O27" s="98"/>
      <c r="P27" s="98"/>
      <c r="Q27" s="98"/>
      <c r="R27" s="98" t="s">
        <v>15</v>
      </c>
      <c r="S27" s="98"/>
      <c r="T27" s="98"/>
      <c r="U27" s="99" t="s">
        <v>111</v>
      </c>
      <c r="V27" s="100" t="s">
        <v>299</v>
      </c>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7"/>
      <c r="BC27" s="102">
        <f>IF((SUMPRODUCT(--(V27:AV27&lt;&gt;""))=0),"0",(VLOOKUP((MATCH("X",$V27:$AV27,0)), Lists!$E$13:$G$39,3)))</f>
        <v>10950</v>
      </c>
      <c r="BD27" s="103">
        <f t="shared" si="0"/>
        <v>10950</v>
      </c>
      <c r="BE27" s="103" t="str">
        <f t="shared" si="1"/>
        <v>-</v>
      </c>
      <c r="BF27" s="94"/>
      <c r="BG27" s="98" t="s">
        <v>15</v>
      </c>
      <c r="BH27" s="98"/>
      <c r="BI27" s="104">
        <f>IF(ISBLANK($BG27),"-",(IF(BD27="-","-",BD27*(Lists!$K$10/100))))</f>
        <v>1642.5</v>
      </c>
      <c r="BJ27" s="104" t="str">
        <f>IF(ISBLANK($BH27),"-",(IF(BD27="-","-",BD27*(Lists!$K$11/100))))</f>
        <v>-</v>
      </c>
      <c r="BK27" s="104" t="str">
        <f>IF(ISBLANK($BG27),"-",(IF(BE27="-","-",BE27*(Lists!$K$10/100))))</f>
        <v>-</v>
      </c>
      <c r="BL27" s="104" t="str">
        <f>IF(ISBLANK($BH27),"-",(IF(BE27="-","-",BE27*(Lists!$K$11/100))))</f>
        <v>-</v>
      </c>
      <c r="BM27" s="98"/>
      <c r="BN27" s="98"/>
      <c r="BO27" s="104" t="str">
        <f>IF(ISBLANK(BM27),"-",((Lists!$K$19/100)*(IF(BD27&lt;&gt;"-",BD27,BE27))))</f>
        <v>-</v>
      </c>
      <c r="BP27" s="104" t="str">
        <f>IF(ISBLANK(BN27),"-",((Lists!$K$20/100)*(IF(BD27&lt;&gt;"-",BD27,BE27))))</f>
        <v>-</v>
      </c>
    </row>
    <row r="28" spans="1:68" ht="34.5" customHeight="1" x14ac:dyDescent="0.25">
      <c r="A28" s="128" t="s">
        <v>88</v>
      </c>
      <c r="B28" s="128"/>
      <c r="C28" s="309" t="s">
        <v>27</v>
      </c>
      <c r="D28" s="309" t="s">
        <v>112</v>
      </c>
      <c r="E28" s="97">
        <v>653</v>
      </c>
      <c r="F28" s="97" t="s">
        <v>110</v>
      </c>
      <c r="G28" s="97">
        <v>653</v>
      </c>
      <c r="H28" s="97" t="s">
        <v>295</v>
      </c>
      <c r="I28" s="318"/>
      <c r="J28" s="99" t="s">
        <v>324</v>
      </c>
      <c r="K28" s="314" t="s">
        <v>335</v>
      </c>
      <c r="L28" s="307"/>
      <c r="M28" s="320" t="s">
        <v>15</v>
      </c>
      <c r="N28" s="305"/>
      <c r="O28" s="320" t="s">
        <v>15</v>
      </c>
      <c r="P28" s="320"/>
      <c r="Q28" s="320" t="s">
        <v>15</v>
      </c>
      <c r="R28" s="320"/>
      <c r="S28" s="320" t="s">
        <v>15</v>
      </c>
      <c r="T28" s="320"/>
      <c r="U28" s="328" t="s">
        <v>606</v>
      </c>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t="s">
        <v>299</v>
      </c>
      <c r="AS28" s="100"/>
      <c r="AT28" s="100"/>
      <c r="AU28" s="100"/>
      <c r="AV28" s="100"/>
      <c r="AW28" s="100"/>
      <c r="AX28" s="100"/>
      <c r="AY28" s="100"/>
      <c r="AZ28" s="100"/>
      <c r="BA28" s="100"/>
      <c r="BB28" s="107"/>
      <c r="BC28" s="102">
        <f>IF((SUMPRODUCT(--(V28:AV28&lt;&gt;""))=0),"0",(VLOOKUP((MATCH("X",$V28:$AV28,0)), Lists!$E$13:$G$39,3)))</f>
        <v>510</v>
      </c>
      <c r="BD28" s="103">
        <f t="shared" si="0"/>
        <v>333030</v>
      </c>
      <c r="BE28" s="103" t="str">
        <f t="shared" si="1"/>
        <v>-</v>
      </c>
      <c r="BF28" s="82"/>
      <c r="BG28" s="132" t="s">
        <v>15</v>
      </c>
      <c r="BH28" s="132" t="s">
        <v>15</v>
      </c>
      <c r="BI28" s="104">
        <f>IF(ISBLANK($BG28),"-",(IF(BD28="-","-",BD28*(Lists!$K$10/100))))</f>
        <v>49954.5</v>
      </c>
      <c r="BJ28" s="104">
        <f>IF(ISBLANK($BH28),"-",(IF(BD28="-","-",BD28*(Lists!$K$11/100))))</f>
        <v>33303</v>
      </c>
      <c r="BK28" s="104" t="str">
        <f>IF(ISBLANK($BG28),"-",(IF(BE28="-","-",BE28*(Lists!$K$10/100))))</f>
        <v>-</v>
      </c>
      <c r="BL28" s="104" t="str">
        <f>IF(ISBLANK($BH28),"-",(IF(BE28="-","-",BE28*(Lists!$K$11/100))))</f>
        <v>-</v>
      </c>
      <c r="BM28" s="133"/>
      <c r="BN28" s="98" t="s">
        <v>15</v>
      </c>
      <c r="BO28" s="104" t="str">
        <f>IF(ISBLANK(BM28),"-",((Lists!$K$19/100)*(IF(BD28&lt;&gt;"-",BD28,BE28))))</f>
        <v>-</v>
      </c>
      <c r="BP28" s="104">
        <f>IF(ISBLANK(BN28),"-",((Lists!$K$20/100)*(IF(BD28&lt;&gt;"-",BD28,BE28))))</f>
        <v>16651.5</v>
      </c>
    </row>
    <row r="29" spans="1:68" ht="34.5" customHeight="1" x14ac:dyDescent="0.25">
      <c r="A29" s="128" t="s">
        <v>88</v>
      </c>
      <c r="B29" s="128"/>
      <c r="C29" s="309"/>
      <c r="D29" s="309"/>
      <c r="E29" s="97">
        <v>653</v>
      </c>
      <c r="F29" s="97" t="s">
        <v>110</v>
      </c>
      <c r="G29" s="97">
        <v>653</v>
      </c>
      <c r="H29" s="97" t="s">
        <v>295</v>
      </c>
      <c r="I29" s="318"/>
      <c r="J29" s="99" t="s">
        <v>494</v>
      </c>
      <c r="K29" s="315"/>
      <c r="L29" s="313"/>
      <c r="M29" s="321"/>
      <c r="N29" s="329"/>
      <c r="O29" s="321"/>
      <c r="P29" s="321"/>
      <c r="Q29" s="321"/>
      <c r="R29" s="321"/>
      <c r="S29" s="321"/>
      <c r="T29" s="321"/>
      <c r="U29" s="328"/>
      <c r="V29" s="100"/>
      <c r="W29" s="100"/>
      <c r="X29" s="100"/>
      <c r="Y29" s="100"/>
      <c r="Z29" s="100"/>
      <c r="AA29" s="100"/>
      <c r="AB29" s="100"/>
      <c r="AC29" s="100"/>
      <c r="AD29" s="100"/>
      <c r="AE29" s="100"/>
      <c r="AF29" s="100"/>
      <c r="AG29" s="100"/>
      <c r="AH29" s="100"/>
      <c r="AI29" s="100"/>
      <c r="AJ29" s="100"/>
      <c r="AK29" s="100"/>
      <c r="AL29" s="100"/>
      <c r="AM29" s="100" t="s">
        <v>299</v>
      </c>
      <c r="AN29" s="100"/>
      <c r="AO29" s="100"/>
      <c r="AP29" s="100"/>
      <c r="AQ29" s="100"/>
      <c r="AR29" s="100"/>
      <c r="AS29" s="100"/>
      <c r="AT29" s="100"/>
      <c r="AU29" s="100"/>
      <c r="AV29" s="100"/>
      <c r="AW29" s="100"/>
      <c r="AX29" s="100"/>
      <c r="AY29" s="100"/>
      <c r="AZ29" s="100"/>
      <c r="BA29" s="100"/>
      <c r="BB29" s="107"/>
      <c r="BC29" s="102">
        <f>IF((SUMPRODUCT(--(V29:AV29&lt;&gt;""))=0),"0",(VLOOKUP((MATCH("X",$V29:$AV29,0)), Lists!$E$13:$G$39,3)))</f>
        <v>50</v>
      </c>
      <c r="BD29" s="103">
        <f t="shared" si="0"/>
        <v>32650</v>
      </c>
      <c r="BE29" s="103" t="str">
        <f t="shared" si="1"/>
        <v>-</v>
      </c>
      <c r="BF29" s="82"/>
      <c r="BG29" s="132" t="s">
        <v>15</v>
      </c>
      <c r="BH29" s="132" t="s">
        <v>15</v>
      </c>
      <c r="BI29" s="104">
        <f>IF(ISBLANK($BG29),"-",(IF(BD29="-","-",BD29*(Lists!$K$10/100))))</f>
        <v>4897.5</v>
      </c>
      <c r="BJ29" s="104">
        <f>IF(ISBLANK($BH29),"-",(IF(BD29="-","-",BD29*(Lists!$K$11/100))))</f>
        <v>3265</v>
      </c>
      <c r="BK29" s="104" t="str">
        <f>IF(ISBLANK($BG29),"-",(IF(BE29="-","-",BE29*(Lists!$K$10/100))))</f>
        <v>-</v>
      </c>
      <c r="BL29" s="104" t="str">
        <f>IF(ISBLANK($BH29),"-",(IF(BE29="-","-",BE29*(Lists!$K$11/100))))</f>
        <v>-</v>
      </c>
      <c r="BM29" s="144"/>
      <c r="BN29" s="98" t="s">
        <v>15</v>
      </c>
      <c r="BO29" s="104" t="str">
        <f>IF(ISBLANK(BM29),"-",((Lists!$K$19/100)*(IF(BD29&lt;&gt;"-",BD29,BE29))))</f>
        <v>-</v>
      </c>
      <c r="BP29" s="104">
        <f>IF(ISBLANK(BN29),"-",((Lists!$K$20/100)*(IF(BD29&lt;&gt;"-",BD29,BE29))))</f>
        <v>1632.5</v>
      </c>
    </row>
    <row r="30" spans="1:68" ht="34.5" customHeight="1" x14ac:dyDescent="0.25">
      <c r="A30" s="128" t="s">
        <v>88</v>
      </c>
      <c r="B30" s="128"/>
      <c r="C30" s="309"/>
      <c r="D30" s="309"/>
      <c r="E30" s="97">
        <v>1306</v>
      </c>
      <c r="F30" s="97" t="s">
        <v>110</v>
      </c>
      <c r="G30" s="97">
        <v>1306</v>
      </c>
      <c r="H30" s="97" t="s">
        <v>295</v>
      </c>
      <c r="I30" s="318"/>
      <c r="J30" s="99" t="s">
        <v>311</v>
      </c>
      <c r="K30" s="319"/>
      <c r="L30" s="304"/>
      <c r="M30" s="327"/>
      <c r="N30" s="306"/>
      <c r="O30" s="327"/>
      <c r="P30" s="327"/>
      <c r="Q30" s="327"/>
      <c r="R30" s="327"/>
      <c r="S30" s="327"/>
      <c r="T30" s="327"/>
      <c r="U30" s="318"/>
      <c r="V30" s="100"/>
      <c r="W30" s="100"/>
      <c r="X30" s="100"/>
      <c r="Y30" s="100"/>
      <c r="Z30" s="100"/>
      <c r="AA30" s="100"/>
      <c r="AB30" s="100"/>
      <c r="AC30" s="100"/>
      <c r="AD30" s="100"/>
      <c r="AE30" s="100"/>
      <c r="AF30" s="100"/>
      <c r="AG30" s="100"/>
      <c r="AH30" s="100"/>
      <c r="AI30" s="100"/>
      <c r="AJ30" s="100" t="s">
        <v>299</v>
      </c>
      <c r="AK30" s="100"/>
      <c r="AL30" s="100"/>
      <c r="AM30" s="100"/>
      <c r="AN30" s="100"/>
      <c r="AO30" s="100"/>
      <c r="AP30" s="100"/>
      <c r="AQ30" s="100"/>
      <c r="AR30" s="100"/>
      <c r="AS30" s="100"/>
      <c r="AT30" s="100"/>
      <c r="AU30" s="100"/>
      <c r="AV30" s="100"/>
      <c r="AW30" s="100"/>
      <c r="AX30" s="100"/>
      <c r="AY30" s="100"/>
      <c r="AZ30" s="100"/>
      <c r="BA30" s="100"/>
      <c r="BB30" s="107"/>
      <c r="BC30" s="102">
        <f>IF((SUMPRODUCT(--(V30:AV30&lt;&gt;""))=0),"0",(VLOOKUP((MATCH("X",$V30:$AV30,0)), Lists!$E$13:$G$39,3)))</f>
        <v>36</v>
      </c>
      <c r="BD30" s="103">
        <f t="shared" si="0"/>
        <v>47016</v>
      </c>
      <c r="BE30" s="103" t="str">
        <f t="shared" si="1"/>
        <v>-</v>
      </c>
      <c r="BF30" s="82"/>
      <c r="BG30" s="132" t="s">
        <v>15</v>
      </c>
      <c r="BH30" s="132" t="s">
        <v>15</v>
      </c>
      <c r="BI30" s="104">
        <f>IF(ISBLANK($BG30),"-",(IF(BD30="-","-",BD30*(Lists!$K$10/100))))</f>
        <v>7052.4</v>
      </c>
      <c r="BJ30" s="104">
        <f>IF(ISBLANK($BH30),"-",(IF(BD30="-","-",BD30*(Lists!$K$11/100))))</f>
        <v>4701.6000000000004</v>
      </c>
      <c r="BK30" s="104" t="str">
        <f>IF(ISBLANK($BG30),"-",(IF(BE30="-","-",BE30*(Lists!$K$10/100))))</f>
        <v>-</v>
      </c>
      <c r="BL30" s="104" t="str">
        <f>IF(ISBLANK($BH30),"-",(IF(BE30="-","-",BE30*(Lists!$K$11/100))))</f>
        <v>-</v>
      </c>
      <c r="BM30" s="145"/>
      <c r="BN30" s="98" t="s">
        <v>15</v>
      </c>
      <c r="BO30" s="104" t="str">
        <f>IF(ISBLANK(BM30),"-",((Lists!$K$19/100)*(IF(BD30&lt;&gt;"-",BD30,BE30))))</f>
        <v>-</v>
      </c>
      <c r="BP30" s="104">
        <f>IF(ISBLANK(BN30),"-",((Lists!$K$20/100)*(IF(BD30&lt;&gt;"-",BD30,BE30))))</f>
        <v>2350.8000000000002</v>
      </c>
    </row>
    <row r="31" spans="1:68" ht="39.75" customHeight="1" x14ac:dyDescent="0.25">
      <c r="A31" s="128" t="s">
        <v>7</v>
      </c>
      <c r="B31" s="128"/>
      <c r="C31" s="309" t="s">
        <v>112</v>
      </c>
      <c r="D31" s="309" t="s">
        <v>28</v>
      </c>
      <c r="E31" s="97">
        <v>452</v>
      </c>
      <c r="F31" s="97" t="s">
        <v>110</v>
      </c>
      <c r="G31" s="97">
        <v>452</v>
      </c>
      <c r="H31" s="97" t="s">
        <v>295</v>
      </c>
      <c r="I31" s="318"/>
      <c r="J31" s="99" t="s">
        <v>324</v>
      </c>
      <c r="K31" s="314" t="s">
        <v>335</v>
      </c>
      <c r="L31" s="307"/>
      <c r="M31" s="320" t="s">
        <v>15</v>
      </c>
      <c r="N31" s="305"/>
      <c r="O31" s="320" t="s">
        <v>15</v>
      </c>
      <c r="P31" s="320"/>
      <c r="Q31" s="320" t="s">
        <v>15</v>
      </c>
      <c r="R31" s="320"/>
      <c r="S31" s="320" t="s">
        <v>15</v>
      </c>
      <c r="T31" s="320"/>
      <c r="U31" s="328" t="s">
        <v>315</v>
      </c>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t="s">
        <v>299</v>
      </c>
      <c r="AS31" s="100"/>
      <c r="AT31" s="100"/>
      <c r="AU31" s="100"/>
      <c r="AV31" s="100"/>
      <c r="AW31" s="100"/>
      <c r="AX31" s="100"/>
      <c r="AY31" s="100"/>
      <c r="AZ31" s="100"/>
      <c r="BA31" s="100"/>
      <c r="BB31" s="107"/>
      <c r="BC31" s="102">
        <f>IF((SUMPRODUCT(--(V31:AV31&lt;&gt;""))=0),"0",(VLOOKUP((MATCH("X",$V31:$AV31,0)), Lists!$E$13:$G$39,3)))</f>
        <v>510</v>
      </c>
      <c r="BD31" s="103">
        <f t="shared" si="0"/>
        <v>230520</v>
      </c>
      <c r="BE31" s="103" t="str">
        <f t="shared" si="1"/>
        <v>-</v>
      </c>
      <c r="BF31" s="82"/>
      <c r="BG31" s="132" t="s">
        <v>15</v>
      </c>
      <c r="BH31" s="132" t="s">
        <v>15</v>
      </c>
      <c r="BI31" s="104">
        <f>IF(ISBLANK($BG31),"-",(IF(BD31="-","-",BD31*(Lists!$K$10/100))))</f>
        <v>34578</v>
      </c>
      <c r="BJ31" s="104">
        <f>IF(ISBLANK($BH31),"-",(IF(BD31="-","-",BD31*(Lists!$K$11/100))))</f>
        <v>23052</v>
      </c>
      <c r="BK31" s="104" t="str">
        <f>IF(ISBLANK($BG31),"-",(IF(BE31="-","-",BE31*(Lists!$K$10/100))))</f>
        <v>-</v>
      </c>
      <c r="BL31" s="104" t="str">
        <f>IF(ISBLANK($BH31),"-",(IF(BE31="-","-",BE31*(Lists!$K$11/100))))</f>
        <v>-</v>
      </c>
      <c r="BM31" s="133"/>
      <c r="BN31" s="98" t="s">
        <v>15</v>
      </c>
      <c r="BO31" s="104" t="str">
        <f>IF(ISBLANK(BM31),"-",((Lists!$K$19/100)*(IF(BD31&lt;&gt;"-",BD31,BE31))))</f>
        <v>-</v>
      </c>
      <c r="BP31" s="104">
        <f>IF(ISBLANK(BN31),"-",((Lists!$K$20/100)*(IF(BD31&lt;&gt;"-",BD31,BE31))))</f>
        <v>11526</v>
      </c>
    </row>
    <row r="32" spans="1:68" ht="39.75" customHeight="1" x14ac:dyDescent="0.25">
      <c r="A32" s="128" t="s">
        <v>7</v>
      </c>
      <c r="B32" s="128"/>
      <c r="C32" s="309"/>
      <c r="D32" s="309"/>
      <c r="E32" s="97">
        <v>452</v>
      </c>
      <c r="F32" s="97" t="s">
        <v>110</v>
      </c>
      <c r="G32" s="97">
        <v>452</v>
      </c>
      <c r="H32" s="97" t="s">
        <v>295</v>
      </c>
      <c r="I32" s="318"/>
      <c r="J32" s="99" t="s">
        <v>494</v>
      </c>
      <c r="K32" s="315"/>
      <c r="L32" s="313"/>
      <c r="M32" s="321"/>
      <c r="N32" s="329"/>
      <c r="O32" s="321"/>
      <c r="P32" s="321"/>
      <c r="Q32" s="321"/>
      <c r="R32" s="321"/>
      <c r="S32" s="321"/>
      <c r="T32" s="321"/>
      <c r="U32" s="328"/>
      <c r="V32" s="100"/>
      <c r="W32" s="100"/>
      <c r="X32" s="100"/>
      <c r="Y32" s="100"/>
      <c r="Z32" s="100"/>
      <c r="AA32" s="100"/>
      <c r="AB32" s="100"/>
      <c r="AC32" s="100"/>
      <c r="AD32" s="100"/>
      <c r="AE32" s="100"/>
      <c r="AF32" s="100"/>
      <c r="AG32" s="100"/>
      <c r="AH32" s="100"/>
      <c r="AI32" s="100"/>
      <c r="AJ32" s="100"/>
      <c r="AK32" s="100"/>
      <c r="AL32" s="100"/>
      <c r="AM32" s="100" t="s">
        <v>299</v>
      </c>
      <c r="AN32" s="100"/>
      <c r="AO32" s="100"/>
      <c r="AP32" s="100"/>
      <c r="AQ32" s="100"/>
      <c r="AR32" s="100"/>
      <c r="AS32" s="100"/>
      <c r="AT32" s="100"/>
      <c r="AU32" s="100"/>
      <c r="AV32" s="100"/>
      <c r="AW32" s="100"/>
      <c r="AX32" s="100"/>
      <c r="AY32" s="100"/>
      <c r="AZ32" s="100"/>
      <c r="BA32" s="100"/>
      <c r="BB32" s="107"/>
      <c r="BC32" s="102">
        <f>IF((SUMPRODUCT(--(V32:AV32&lt;&gt;""))=0),"0",(VLOOKUP((MATCH("X",$V32:$AV32,0)), Lists!$E$13:$G$39,3)))</f>
        <v>50</v>
      </c>
      <c r="BD32" s="103">
        <f t="shared" si="0"/>
        <v>22600</v>
      </c>
      <c r="BE32" s="103" t="str">
        <f t="shared" si="1"/>
        <v>-</v>
      </c>
      <c r="BF32" s="82"/>
      <c r="BG32" s="132" t="s">
        <v>15</v>
      </c>
      <c r="BH32" s="132" t="s">
        <v>15</v>
      </c>
      <c r="BI32" s="104">
        <f>IF(ISBLANK($BG32),"-",(IF(BD32="-","-",BD32*(Lists!$K$10/100))))</f>
        <v>3390</v>
      </c>
      <c r="BJ32" s="104">
        <f>IF(ISBLANK($BH32),"-",(IF(BD32="-","-",BD32*(Lists!$K$11/100))))</f>
        <v>2260</v>
      </c>
      <c r="BK32" s="104" t="str">
        <f>IF(ISBLANK($BG32),"-",(IF(BE32="-","-",BE32*(Lists!$K$10/100))))</f>
        <v>-</v>
      </c>
      <c r="BL32" s="104" t="str">
        <f>IF(ISBLANK($BH32),"-",(IF(BE32="-","-",BE32*(Lists!$K$11/100))))</f>
        <v>-</v>
      </c>
      <c r="BM32" s="144"/>
      <c r="BN32" s="98" t="s">
        <v>15</v>
      </c>
      <c r="BO32" s="104" t="str">
        <f>IF(ISBLANK(BM32),"-",((Lists!$K$19/100)*(IF(BD32&lt;&gt;"-",BD32,BE32))))</f>
        <v>-</v>
      </c>
      <c r="BP32" s="104">
        <f>IF(ISBLANK(BN32),"-",((Lists!$K$20/100)*(IF(BD32&lt;&gt;"-",BD32,BE32))))</f>
        <v>1130</v>
      </c>
    </row>
    <row r="33" spans="1:68" ht="39.75" customHeight="1" x14ac:dyDescent="0.25">
      <c r="A33" s="128" t="s">
        <v>7</v>
      </c>
      <c r="B33" s="128"/>
      <c r="C33" s="309"/>
      <c r="D33" s="309"/>
      <c r="E33" s="97">
        <v>904</v>
      </c>
      <c r="F33" s="97" t="s">
        <v>110</v>
      </c>
      <c r="G33" s="97">
        <v>904</v>
      </c>
      <c r="H33" s="97" t="s">
        <v>295</v>
      </c>
      <c r="I33" s="318"/>
      <c r="J33" s="99" t="s">
        <v>311</v>
      </c>
      <c r="K33" s="319"/>
      <c r="L33" s="304"/>
      <c r="M33" s="327"/>
      <c r="N33" s="306"/>
      <c r="O33" s="327"/>
      <c r="P33" s="327"/>
      <c r="Q33" s="327"/>
      <c r="R33" s="327"/>
      <c r="S33" s="327"/>
      <c r="T33" s="327"/>
      <c r="U33" s="318"/>
      <c r="V33" s="100"/>
      <c r="W33" s="100"/>
      <c r="X33" s="100"/>
      <c r="Y33" s="100"/>
      <c r="Z33" s="100"/>
      <c r="AA33" s="100"/>
      <c r="AB33" s="100"/>
      <c r="AC33" s="100"/>
      <c r="AD33" s="100"/>
      <c r="AE33" s="100"/>
      <c r="AF33" s="100"/>
      <c r="AG33" s="100"/>
      <c r="AH33" s="100"/>
      <c r="AI33" s="100"/>
      <c r="AJ33" s="100" t="s">
        <v>299</v>
      </c>
      <c r="AK33" s="100"/>
      <c r="AL33" s="100"/>
      <c r="AM33" s="100"/>
      <c r="AN33" s="100"/>
      <c r="AO33" s="100"/>
      <c r="AP33" s="100"/>
      <c r="AQ33" s="100"/>
      <c r="AR33" s="100"/>
      <c r="AS33" s="100"/>
      <c r="AT33" s="100"/>
      <c r="AU33" s="100"/>
      <c r="AV33" s="100"/>
      <c r="AW33" s="100"/>
      <c r="AX33" s="100"/>
      <c r="AY33" s="100"/>
      <c r="AZ33" s="100"/>
      <c r="BA33" s="100"/>
      <c r="BB33" s="107"/>
      <c r="BC33" s="102">
        <f>IF((SUMPRODUCT(--(V33:AV33&lt;&gt;""))=0),"0",(VLOOKUP((MATCH("X",$V33:$AV33,0)), Lists!$E$13:$G$39,3)))</f>
        <v>36</v>
      </c>
      <c r="BD33" s="103">
        <f t="shared" si="0"/>
        <v>32544</v>
      </c>
      <c r="BE33" s="103" t="str">
        <f t="shared" si="1"/>
        <v>-</v>
      </c>
      <c r="BF33" s="82"/>
      <c r="BG33" s="132" t="s">
        <v>15</v>
      </c>
      <c r="BH33" s="132" t="s">
        <v>15</v>
      </c>
      <c r="BI33" s="104">
        <f>IF(ISBLANK($BG33),"-",(IF(BD33="-","-",BD33*(Lists!$K$10/100))))</f>
        <v>4881.5999999999995</v>
      </c>
      <c r="BJ33" s="104">
        <f>IF(ISBLANK($BH33),"-",(IF(BD33="-","-",BD33*(Lists!$K$11/100))))</f>
        <v>3254.4</v>
      </c>
      <c r="BK33" s="104" t="str">
        <f>IF(ISBLANK($BG33),"-",(IF(BE33="-","-",BE33*(Lists!$K$10/100))))</f>
        <v>-</v>
      </c>
      <c r="BL33" s="104" t="str">
        <f>IF(ISBLANK($BH33),"-",(IF(BE33="-","-",BE33*(Lists!$K$11/100))))</f>
        <v>-</v>
      </c>
      <c r="BM33" s="145"/>
      <c r="BN33" s="98" t="s">
        <v>15</v>
      </c>
      <c r="BO33" s="104" t="str">
        <f>IF(ISBLANK(BM33),"-",((Lists!$K$19/100)*(IF(BD33&lt;&gt;"-",BD33,BE33))))</f>
        <v>-</v>
      </c>
      <c r="BP33" s="104">
        <f>IF(ISBLANK(BN33),"-",((Lists!$K$20/100)*(IF(BD33&lt;&gt;"-",BD33,BE33))))</f>
        <v>1627.2</v>
      </c>
    </row>
    <row r="34" spans="1:68" s="147" customFormat="1" ht="31.5" customHeight="1" x14ac:dyDescent="0.25">
      <c r="A34" s="105" t="s">
        <v>7</v>
      </c>
      <c r="B34" s="128"/>
      <c r="C34" s="97" t="s">
        <v>28</v>
      </c>
      <c r="D34" s="143" t="s">
        <v>110</v>
      </c>
      <c r="E34" s="97" t="s">
        <v>110</v>
      </c>
      <c r="F34" s="97" t="s">
        <v>110</v>
      </c>
      <c r="G34" s="97">
        <v>1</v>
      </c>
      <c r="H34" s="97" t="s">
        <v>294</v>
      </c>
      <c r="I34" s="128"/>
      <c r="J34" s="96" t="s">
        <v>119</v>
      </c>
      <c r="K34" s="96" t="s">
        <v>334</v>
      </c>
      <c r="L34" s="97">
        <v>30</v>
      </c>
      <c r="M34" s="98"/>
      <c r="N34" s="98" t="s">
        <v>15</v>
      </c>
      <c r="O34" s="129"/>
      <c r="P34" s="98"/>
      <c r="Q34" s="129"/>
      <c r="R34" s="129"/>
      <c r="S34" s="129"/>
      <c r="T34" s="129"/>
      <c r="U34" s="96" t="s">
        <v>331</v>
      </c>
      <c r="V34" s="100"/>
      <c r="W34" s="100" t="s">
        <v>299</v>
      </c>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7"/>
      <c r="BC34" s="102">
        <f>IF((SUMPRODUCT(--(V34:AV34&lt;&gt;""))=0),"0",(VLOOKUP((MATCH("X",$V34:$AV34,0)), Lists!$E$13:$G$39,3)))</f>
        <v>96500</v>
      </c>
      <c r="BD34" s="103">
        <f t="shared" si="0"/>
        <v>96500</v>
      </c>
      <c r="BE34" s="103" t="str">
        <f t="shared" si="1"/>
        <v>-</v>
      </c>
      <c r="BF34" s="146"/>
      <c r="BG34" s="132" t="s">
        <v>15</v>
      </c>
      <c r="BH34" s="98"/>
      <c r="BI34" s="104">
        <f>IF(ISBLANK($BG34),"-",(IF(BD34="-","-",BD34*(Lists!$K$10/100))))</f>
        <v>14475</v>
      </c>
      <c r="BJ34" s="104" t="str">
        <f>IF(ISBLANK($BH34),"-",(IF(BD34="-","-",BD34*(Lists!$K$11/100))))</f>
        <v>-</v>
      </c>
      <c r="BK34" s="104" t="str">
        <f>IF(ISBLANK($BG34),"-",(IF(BE34="-","-",BE34*(Lists!$K$10/100))))</f>
        <v>-</v>
      </c>
      <c r="BL34" s="104" t="str">
        <f>IF(ISBLANK($BH34),"-",(IF(BE34="-","-",BE34*(Lists!$K$11/100))))</f>
        <v>-</v>
      </c>
      <c r="BM34" s="98"/>
      <c r="BN34" s="98"/>
      <c r="BO34" s="104" t="str">
        <f>IF(ISBLANK(BM34),"-",((Lists!$K$19/100)*(IF(BD34&lt;&gt;"-",BD34,BE34))))</f>
        <v>-</v>
      </c>
      <c r="BP34" s="104" t="str">
        <f>IF(ISBLANK(BN34),"-",((Lists!$K$20/100)*(IF(BD34&lt;&gt;"-",BD34,BE34))))</f>
        <v>-</v>
      </c>
    </row>
    <row r="35" spans="1:68" s="147" customFormat="1" x14ac:dyDescent="0.25">
      <c r="A35" s="128" t="s">
        <v>90</v>
      </c>
      <c r="B35" s="128"/>
      <c r="C35" s="309" t="s">
        <v>28</v>
      </c>
      <c r="D35" s="309" t="s">
        <v>41</v>
      </c>
      <c r="E35" s="307">
        <v>385</v>
      </c>
      <c r="F35" s="97" t="s">
        <v>110</v>
      </c>
      <c r="G35" s="97">
        <v>385</v>
      </c>
      <c r="H35" s="97" t="s">
        <v>295</v>
      </c>
      <c r="I35" s="128"/>
      <c r="J35" s="96" t="s">
        <v>316</v>
      </c>
      <c r="K35" s="314" t="s">
        <v>335</v>
      </c>
      <c r="L35" s="320"/>
      <c r="M35" s="320" t="s">
        <v>15</v>
      </c>
      <c r="N35" s="320"/>
      <c r="O35" s="320"/>
      <c r="P35" s="320"/>
      <c r="Q35" s="320"/>
      <c r="R35" s="320"/>
      <c r="S35" s="320"/>
      <c r="T35" s="320"/>
      <c r="U35" s="328" t="s">
        <v>608</v>
      </c>
      <c r="V35" s="100"/>
      <c r="W35" s="100"/>
      <c r="X35" s="100"/>
      <c r="Y35" s="100"/>
      <c r="Z35" s="100"/>
      <c r="AA35" s="100" t="s">
        <v>299</v>
      </c>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7"/>
      <c r="BC35" s="102">
        <f>IF((SUMPRODUCT(--(V35:AV35&lt;&gt;""))=0),"0",(VLOOKUP((MATCH("X",$V35:$AV35,0)), Lists!$E$13:$G$39,3)))</f>
        <v>155</v>
      </c>
      <c r="BD35" s="103">
        <f t="shared" si="0"/>
        <v>59675</v>
      </c>
      <c r="BE35" s="103" t="str">
        <f t="shared" si="1"/>
        <v>-</v>
      </c>
      <c r="BF35" s="146"/>
      <c r="BG35" s="132" t="s">
        <v>15</v>
      </c>
      <c r="BH35" s="132" t="s">
        <v>15</v>
      </c>
      <c r="BI35" s="104">
        <f>IF(ISBLANK($BG35),"-",(IF(BD35="-","-",BD35*(Lists!$K$10/100))))</f>
        <v>8951.25</v>
      </c>
      <c r="BJ35" s="104">
        <f>IF(ISBLANK($BH35),"-",(IF(BD35="-","-",BD35*(Lists!$K$11/100))))</f>
        <v>5967.5</v>
      </c>
      <c r="BK35" s="104" t="str">
        <f>IF(ISBLANK($BG35),"-",(IF(BE35="-","-",BE35*(Lists!$K$10/100))))</f>
        <v>-</v>
      </c>
      <c r="BL35" s="104" t="str">
        <f>IF(ISBLANK($BH35),"-",(IF(BE35="-","-",BE35*(Lists!$K$11/100))))</f>
        <v>-</v>
      </c>
      <c r="BM35" s="133"/>
      <c r="BN35" s="98" t="s">
        <v>15</v>
      </c>
      <c r="BO35" s="104" t="str">
        <f>IF(ISBLANK(BM35),"-",((Lists!$K$19/100)*(IF(BD35&lt;&gt;"-",BD35,BE35))))</f>
        <v>-</v>
      </c>
      <c r="BP35" s="104">
        <f>IF(ISBLANK(BN35),"-",((Lists!$K$20/100)*(IF(BD35&lt;&gt;"-",BD35,BE35))))</f>
        <v>2983.75</v>
      </c>
    </row>
    <row r="36" spans="1:68" s="147" customFormat="1" x14ac:dyDescent="0.25">
      <c r="A36" s="128" t="s">
        <v>90</v>
      </c>
      <c r="B36" s="128"/>
      <c r="C36" s="309"/>
      <c r="D36" s="309"/>
      <c r="E36" s="311"/>
      <c r="F36" s="97" t="s">
        <v>110</v>
      </c>
      <c r="G36" s="97">
        <v>385</v>
      </c>
      <c r="H36" s="97" t="s">
        <v>295</v>
      </c>
      <c r="I36" s="128"/>
      <c r="J36" s="96" t="s">
        <v>494</v>
      </c>
      <c r="K36" s="315"/>
      <c r="L36" s="321"/>
      <c r="M36" s="321"/>
      <c r="N36" s="321"/>
      <c r="O36" s="321"/>
      <c r="P36" s="321"/>
      <c r="Q36" s="321"/>
      <c r="R36" s="321"/>
      <c r="S36" s="321"/>
      <c r="T36" s="321"/>
      <c r="U36" s="328"/>
      <c r="V36" s="100"/>
      <c r="W36" s="100"/>
      <c r="X36" s="100"/>
      <c r="Y36" s="100"/>
      <c r="Z36" s="100"/>
      <c r="AA36" s="100"/>
      <c r="AB36" s="100"/>
      <c r="AC36" s="100"/>
      <c r="AD36" s="100"/>
      <c r="AE36" s="100"/>
      <c r="AF36" s="100"/>
      <c r="AG36" s="100"/>
      <c r="AH36" s="100"/>
      <c r="AI36" s="100"/>
      <c r="AJ36" s="100"/>
      <c r="AK36" s="100"/>
      <c r="AL36" s="100"/>
      <c r="AM36" s="100" t="s">
        <v>299</v>
      </c>
      <c r="AN36" s="100"/>
      <c r="AO36" s="100"/>
      <c r="AP36" s="100"/>
      <c r="AQ36" s="100"/>
      <c r="AR36" s="100"/>
      <c r="AS36" s="100"/>
      <c r="AT36" s="100"/>
      <c r="AU36" s="100"/>
      <c r="AV36" s="100"/>
      <c r="AW36" s="100"/>
      <c r="AX36" s="100"/>
      <c r="AY36" s="100"/>
      <c r="AZ36" s="100"/>
      <c r="BA36" s="100"/>
      <c r="BB36" s="107"/>
      <c r="BC36" s="102">
        <f>IF((SUMPRODUCT(--(V36:AV36&lt;&gt;""))=0),"0",(VLOOKUP((MATCH("X",$V36:$AV36,0)), Lists!$E$13:$G$39,3)))</f>
        <v>50</v>
      </c>
      <c r="BD36" s="103">
        <f t="shared" si="0"/>
        <v>19250</v>
      </c>
      <c r="BE36" s="103" t="str">
        <f t="shared" si="1"/>
        <v>-</v>
      </c>
      <c r="BF36" s="146"/>
      <c r="BG36" s="132" t="s">
        <v>15</v>
      </c>
      <c r="BH36" s="132" t="s">
        <v>15</v>
      </c>
      <c r="BI36" s="104">
        <f>IF(ISBLANK($BG36),"-",(IF(BD36="-","-",BD36*(Lists!$K$10/100))))</f>
        <v>2887.5</v>
      </c>
      <c r="BJ36" s="104">
        <f>IF(ISBLANK($BH36),"-",(IF(BD36="-","-",BD36*(Lists!$K$11/100))))</f>
        <v>1925</v>
      </c>
      <c r="BK36" s="104" t="str">
        <f>IF(ISBLANK($BG36),"-",(IF(BE36="-","-",BE36*(Lists!$K$10/100))))</f>
        <v>-</v>
      </c>
      <c r="BL36" s="104" t="str">
        <f>IF(ISBLANK($BH36),"-",(IF(BE36="-","-",BE36*(Lists!$K$11/100))))</f>
        <v>-</v>
      </c>
      <c r="BM36" s="144"/>
      <c r="BN36" s="98" t="s">
        <v>15</v>
      </c>
      <c r="BO36" s="104" t="str">
        <f>IF(ISBLANK(BM36),"-",((Lists!$K$19/100)*(IF(BD36&lt;&gt;"-",BD36,BE36))))</f>
        <v>-</v>
      </c>
      <c r="BP36" s="104">
        <f>IF(ISBLANK(BN36),"-",((Lists!$K$20/100)*(IF(BD36&lt;&gt;"-",BD36,BE36))))</f>
        <v>962.5</v>
      </c>
    </row>
    <row r="37" spans="1:68" s="147" customFormat="1" x14ac:dyDescent="0.25">
      <c r="A37" s="128" t="s">
        <v>90</v>
      </c>
      <c r="B37" s="128"/>
      <c r="C37" s="309"/>
      <c r="D37" s="309"/>
      <c r="E37" s="312"/>
      <c r="F37" s="97" t="s">
        <v>110</v>
      </c>
      <c r="G37" s="97">
        <v>385</v>
      </c>
      <c r="H37" s="97" t="s">
        <v>295</v>
      </c>
      <c r="I37" s="128"/>
      <c r="J37" s="96" t="s">
        <v>317</v>
      </c>
      <c r="K37" s="319"/>
      <c r="L37" s="322"/>
      <c r="M37" s="327" t="s">
        <v>15</v>
      </c>
      <c r="N37" s="327"/>
      <c r="O37" s="327"/>
      <c r="P37" s="327"/>
      <c r="Q37" s="327"/>
      <c r="R37" s="327"/>
      <c r="S37" s="327"/>
      <c r="T37" s="327"/>
      <c r="U37" s="318"/>
      <c r="V37" s="100"/>
      <c r="W37" s="100"/>
      <c r="X37" s="100"/>
      <c r="Y37" s="100"/>
      <c r="Z37" s="100"/>
      <c r="AA37" s="100"/>
      <c r="AB37" s="100"/>
      <c r="AC37" s="100"/>
      <c r="AD37" s="100"/>
      <c r="AE37" s="100"/>
      <c r="AF37" s="100"/>
      <c r="AG37" s="100"/>
      <c r="AH37" s="100"/>
      <c r="AI37" s="100"/>
      <c r="AJ37" s="100" t="s">
        <v>299</v>
      </c>
      <c r="AK37" s="100"/>
      <c r="AL37" s="100"/>
      <c r="AM37" s="100"/>
      <c r="AN37" s="100"/>
      <c r="AO37" s="100"/>
      <c r="AP37" s="100"/>
      <c r="AQ37" s="100"/>
      <c r="AR37" s="100"/>
      <c r="AS37" s="100"/>
      <c r="AT37" s="100"/>
      <c r="AU37" s="100"/>
      <c r="AV37" s="100"/>
      <c r="AW37" s="100"/>
      <c r="AX37" s="100"/>
      <c r="AY37" s="100"/>
      <c r="AZ37" s="100"/>
      <c r="BA37" s="100"/>
      <c r="BB37" s="107"/>
      <c r="BC37" s="102">
        <f>IF((SUMPRODUCT(--(V37:AV37&lt;&gt;""))=0),"0",(VLOOKUP((MATCH("X",$V37:$AV37,0)), Lists!$E$13:$G$39,3)))</f>
        <v>36</v>
      </c>
      <c r="BD37" s="103">
        <f t="shared" si="0"/>
        <v>13860</v>
      </c>
      <c r="BE37" s="103" t="str">
        <f t="shared" si="1"/>
        <v>-</v>
      </c>
      <c r="BF37" s="146"/>
      <c r="BG37" s="132" t="s">
        <v>15</v>
      </c>
      <c r="BH37" s="132" t="s">
        <v>15</v>
      </c>
      <c r="BI37" s="104">
        <f>IF(ISBLANK($BG37),"-",(IF(BD37="-","-",BD37*(Lists!$K$10/100))))</f>
        <v>2079</v>
      </c>
      <c r="BJ37" s="104">
        <f>IF(ISBLANK($BH37),"-",(IF(BD37="-","-",BD37*(Lists!$K$11/100))))</f>
        <v>1386</v>
      </c>
      <c r="BK37" s="104" t="str">
        <f>IF(ISBLANK($BG37),"-",(IF(BE37="-","-",BE37*(Lists!$K$10/100))))</f>
        <v>-</v>
      </c>
      <c r="BL37" s="104" t="str">
        <f>IF(ISBLANK($BH37),"-",(IF(BE37="-","-",BE37*(Lists!$K$11/100))))</f>
        <v>-</v>
      </c>
      <c r="BM37" s="148"/>
      <c r="BN37" s="98" t="s">
        <v>15</v>
      </c>
      <c r="BO37" s="104" t="str">
        <f>IF(ISBLANK(BM37),"-",((Lists!$K$19/100)*(IF(BD37&lt;&gt;"-",BD37,BE37))))</f>
        <v>-</v>
      </c>
      <c r="BP37" s="104">
        <f>IF(ISBLANK(BN37),"-",((Lists!$K$20/100)*(IF(BD37&lt;&gt;"-",BD37,BE37))))</f>
        <v>693</v>
      </c>
    </row>
    <row r="38" spans="1:68" s="147" customFormat="1" x14ac:dyDescent="0.25">
      <c r="A38" s="105" t="s">
        <v>90</v>
      </c>
      <c r="B38" s="128"/>
      <c r="C38" s="97" t="s">
        <v>41</v>
      </c>
      <c r="D38" s="143" t="s">
        <v>110</v>
      </c>
      <c r="E38" s="97" t="s">
        <v>110</v>
      </c>
      <c r="F38" s="97" t="s">
        <v>110</v>
      </c>
      <c r="G38" s="97">
        <v>1</v>
      </c>
      <c r="H38" s="97" t="s">
        <v>294</v>
      </c>
      <c r="I38" s="128"/>
      <c r="J38" s="96" t="s">
        <v>318</v>
      </c>
      <c r="K38" s="96" t="s">
        <v>336</v>
      </c>
      <c r="L38" s="97"/>
      <c r="M38" s="98"/>
      <c r="N38" s="129"/>
      <c r="O38" s="129"/>
      <c r="P38" s="98"/>
      <c r="Q38" s="98"/>
      <c r="R38" s="98"/>
      <c r="S38" s="98"/>
      <c r="T38" s="98"/>
      <c r="U38" s="96" t="s">
        <v>323</v>
      </c>
      <c r="V38" s="100" t="s">
        <v>299</v>
      </c>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7"/>
      <c r="BC38" s="102">
        <f>IF((SUMPRODUCT(--(V38:AV38&lt;&gt;""))=0),"0",(VLOOKUP((MATCH("X",$V38:$AV38,0)), Lists!$E$13:$G$39,3)))</f>
        <v>10950</v>
      </c>
      <c r="BD38" s="103">
        <f t="shared" si="0"/>
        <v>10950</v>
      </c>
      <c r="BE38" s="103" t="str">
        <f t="shared" si="1"/>
        <v>-</v>
      </c>
      <c r="BF38" s="146"/>
      <c r="BG38" s="132" t="s">
        <v>15</v>
      </c>
      <c r="BH38" s="132" t="s">
        <v>15</v>
      </c>
      <c r="BI38" s="104">
        <f>IF(ISBLANK($BG38),"-",(IF(BD38="-","-",BD38*(Lists!$K$10/100))))</f>
        <v>1642.5</v>
      </c>
      <c r="BJ38" s="104">
        <f>IF(ISBLANK($BH38),"-",(IF(BD38="-","-",BD38*(Lists!$K$11/100))))</f>
        <v>1095</v>
      </c>
      <c r="BK38" s="104" t="str">
        <f>IF(ISBLANK($BG38),"-",(IF(BE38="-","-",BE38*(Lists!$K$10/100))))</f>
        <v>-</v>
      </c>
      <c r="BL38" s="104" t="str">
        <f>IF(ISBLANK($BH38),"-",(IF(BE38="-","-",BE38*(Lists!$K$11/100))))</f>
        <v>-</v>
      </c>
      <c r="BM38" s="98"/>
      <c r="BN38" s="98" t="s">
        <v>15</v>
      </c>
      <c r="BO38" s="104" t="str">
        <f>IF(ISBLANK(BM38),"-",((Lists!$K$19/100)*(IF(BD38&lt;&gt;"-",BD38,BE38))))</f>
        <v>-</v>
      </c>
      <c r="BP38" s="104">
        <f>IF(ISBLANK(BN38),"-",((Lists!$K$20/100)*(IF(BD38&lt;&gt;"-",BD38,BE38))))</f>
        <v>547.5</v>
      </c>
    </row>
    <row r="39" spans="1:68" s="147" customFormat="1" ht="36" customHeight="1" x14ac:dyDescent="0.25">
      <c r="A39" s="130" t="s">
        <v>90</v>
      </c>
      <c r="B39" s="149"/>
      <c r="C39" s="307" t="s">
        <v>41</v>
      </c>
      <c r="D39" s="307" t="s">
        <v>42</v>
      </c>
      <c r="E39" s="307">
        <v>195</v>
      </c>
      <c r="F39" s="150" t="s">
        <v>110</v>
      </c>
      <c r="G39" s="97">
        <v>195</v>
      </c>
      <c r="H39" s="97" t="s">
        <v>295</v>
      </c>
      <c r="I39" s="128"/>
      <c r="J39" s="96" t="s">
        <v>361</v>
      </c>
      <c r="K39" s="330" t="s">
        <v>335</v>
      </c>
      <c r="L39" s="307"/>
      <c r="M39" s="320" t="s">
        <v>15</v>
      </c>
      <c r="N39" s="320" t="s">
        <v>15</v>
      </c>
      <c r="O39" s="321"/>
      <c r="P39" s="321"/>
      <c r="Q39" s="321"/>
      <c r="R39" s="321"/>
      <c r="S39" s="321"/>
      <c r="T39" s="321"/>
      <c r="U39" s="330" t="s">
        <v>610</v>
      </c>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t="s">
        <v>299</v>
      </c>
      <c r="AR39" s="100"/>
      <c r="AS39" s="100"/>
      <c r="AT39" s="100"/>
      <c r="AU39" s="100"/>
      <c r="AV39" s="100"/>
      <c r="AW39" s="100"/>
      <c r="AX39" s="100"/>
      <c r="AY39" s="100"/>
      <c r="AZ39" s="100"/>
      <c r="BA39" s="100"/>
      <c r="BB39" s="107"/>
      <c r="BC39" s="102">
        <f>IF((SUMPRODUCT(--(V39:AV39&lt;&gt;""))=0),"0",(VLOOKUP((MATCH("X",$V39:$AV39,0)), Lists!$E$13:$G$39,3)))</f>
        <v>1525</v>
      </c>
      <c r="BD39" s="103">
        <f t="shared" si="0"/>
        <v>297375</v>
      </c>
      <c r="BE39" s="103" t="str">
        <f t="shared" si="1"/>
        <v>-</v>
      </c>
      <c r="BF39" s="146"/>
      <c r="BG39" s="132" t="s">
        <v>15</v>
      </c>
      <c r="BH39" s="132" t="s">
        <v>15</v>
      </c>
      <c r="BI39" s="104">
        <f>IF(ISBLANK($BG39),"-",(IF(BD39="-","-",BD39*(Lists!$K$10/100))))</f>
        <v>44606.25</v>
      </c>
      <c r="BJ39" s="104">
        <f>IF(ISBLANK($BH39),"-",(IF(BD39="-","-",BD39*(Lists!$K$11/100))))</f>
        <v>29737.5</v>
      </c>
      <c r="BK39" s="104" t="str">
        <f>IF(ISBLANK($BG39),"-",(IF(BE39="-","-",BE39*(Lists!$K$10/100))))</f>
        <v>-</v>
      </c>
      <c r="BL39" s="104" t="str">
        <f>IF(ISBLANK($BH39),"-",(IF(BE39="-","-",BE39*(Lists!$K$11/100))))</f>
        <v>-</v>
      </c>
      <c r="BM39" s="151"/>
      <c r="BN39" s="98" t="s">
        <v>15</v>
      </c>
      <c r="BO39" s="104" t="str">
        <f>IF(ISBLANK(BM39),"-",((Lists!$K$19/100)*(IF(BD39&lt;&gt;"-",BD39,BE39))))</f>
        <v>-</v>
      </c>
      <c r="BP39" s="104">
        <f>IF(ISBLANK(BN39),"-",((Lists!$K$20/100)*(IF(BD39&lt;&gt;"-",BD39,BE39))))</f>
        <v>14868.75</v>
      </c>
    </row>
    <row r="40" spans="1:68" s="147" customFormat="1" ht="36" customHeight="1" x14ac:dyDescent="0.25">
      <c r="A40" s="130" t="s">
        <v>90</v>
      </c>
      <c r="B40" s="149"/>
      <c r="C40" s="313"/>
      <c r="D40" s="313"/>
      <c r="E40" s="313"/>
      <c r="F40" s="150" t="s">
        <v>110</v>
      </c>
      <c r="G40" s="97">
        <v>195</v>
      </c>
      <c r="H40" s="97" t="s">
        <v>295</v>
      </c>
      <c r="I40" s="128"/>
      <c r="J40" s="96" t="s">
        <v>494</v>
      </c>
      <c r="K40" s="337"/>
      <c r="L40" s="313"/>
      <c r="M40" s="321"/>
      <c r="N40" s="321"/>
      <c r="O40" s="321"/>
      <c r="P40" s="321"/>
      <c r="Q40" s="321"/>
      <c r="R40" s="321"/>
      <c r="S40" s="321"/>
      <c r="T40" s="321"/>
      <c r="U40" s="337"/>
      <c r="V40" s="100"/>
      <c r="W40" s="100"/>
      <c r="X40" s="100"/>
      <c r="Y40" s="100"/>
      <c r="Z40" s="100"/>
      <c r="AA40" s="100"/>
      <c r="AB40" s="100"/>
      <c r="AC40" s="100"/>
      <c r="AD40" s="100"/>
      <c r="AE40" s="100"/>
      <c r="AF40" s="100"/>
      <c r="AG40" s="100"/>
      <c r="AH40" s="100"/>
      <c r="AI40" s="100"/>
      <c r="AJ40" s="100"/>
      <c r="AK40" s="100"/>
      <c r="AL40" s="100"/>
      <c r="AM40" s="100" t="s">
        <v>299</v>
      </c>
      <c r="AN40" s="100"/>
      <c r="AO40" s="100"/>
      <c r="AP40" s="100"/>
      <c r="AQ40" s="100"/>
      <c r="AR40" s="100"/>
      <c r="AS40" s="100"/>
      <c r="AT40" s="100"/>
      <c r="AU40" s="100"/>
      <c r="AV40" s="100"/>
      <c r="AW40" s="100"/>
      <c r="AX40" s="100"/>
      <c r="AY40" s="100"/>
      <c r="AZ40" s="100"/>
      <c r="BA40" s="100"/>
      <c r="BB40" s="107"/>
      <c r="BC40" s="102">
        <f>IF((SUMPRODUCT(--(V40:AV40&lt;&gt;""))=0),"0",(VLOOKUP((MATCH("X",$V40:$AV40,0)), Lists!$E$13:$G$39,3)))</f>
        <v>50</v>
      </c>
      <c r="BD40" s="103">
        <f t="shared" si="0"/>
        <v>9750</v>
      </c>
      <c r="BE40" s="103" t="str">
        <f t="shared" si="1"/>
        <v>-</v>
      </c>
      <c r="BF40" s="146"/>
      <c r="BG40" s="132" t="s">
        <v>15</v>
      </c>
      <c r="BH40" s="132" t="s">
        <v>15</v>
      </c>
      <c r="BI40" s="104">
        <f>IF(ISBLANK($BG40),"-",(IF(BD40="-","-",BD40*(Lists!$K$10/100))))</f>
        <v>1462.5</v>
      </c>
      <c r="BJ40" s="104">
        <f>IF(ISBLANK($BH40),"-",(IF(BD40="-","-",BD40*(Lists!$K$11/100))))</f>
        <v>975</v>
      </c>
      <c r="BK40" s="104" t="str">
        <f>IF(ISBLANK($BG40),"-",(IF(BE40="-","-",BE40*(Lists!$K$10/100))))</f>
        <v>-</v>
      </c>
      <c r="BL40" s="104" t="str">
        <f>IF(ISBLANK($BH40),"-",(IF(BE40="-","-",BE40*(Lists!$K$11/100))))</f>
        <v>-</v>
      </c>
      <c r="BM40" s="151"/>
      <c r="BN40" s="98" t="s">
        <v>15</v>
      </c>
      <c r="BO40" s="104" t="str">
        <f>IF(ISBLANK(BM40),"-",((Lists!$K$19/100)*(IF(BD40&lt;&gt;"-",BD40,BE40))))</f>
        <v>-</v>
      </c>
      <c r="BP40" s="104">
        <f>IF(ISBLANK(BN40),"-",((Lists!$K$20/100)*(IF(BD40&lt;&gt;"-",BD40,BE40))))</f>
        <v>487.5</v>
      </c>
    </row>
    <row r="41" spans="1:68" s="147" customFormat="1" ht="36" customHeight="1" x14ac:dyDescent="0.25">
      <c r="A41" s="130" t="s">
        <v>90</v>
      </c>
      <c r="B41" s="131"/>
      <c r="C41" s="308"/>
      <c r="D41" s="308"/>
      <c r="E41" s="308"/>
      <c r="F41" s="150" t="s">
        <v>110</v>
      </c>
      <c r="G41" s="97">
        <v>195</v>
      </c>
      <c r="H41" s="97" t="s">
        <v>295</v>
      </c>
      <c r="I41" s="128"/>
      <c r="J41" s="96" t="s">
        <v>362</v>
      </c>
      <c r="K41" s="331"/>
      <c r="L41" s="308"/>
      <c r="M41" s="327"/>
      <c r="N41" s="327"/>
      <c r="O41" s="327"/>
      <c r="P41" s="327"/>
      <c r="Q41" s="327"/>
      <c r="R41" s="327"/>
      <c r="S41" s="327"/>
      <c r="T41" s="327"/>
      <c r="U41" s="331"/>
      <c r="V41" s="100"/>
      <c r="W41" s="100"/>
      <c r="X41" s="100"/>
      <c r="Y41" s="100"/>
      <c r="Z41" s="100"/>
      <c r="AA41" s="100"/>
      <c r="AB41" s="100"/>
      <c r="AC41" s="100"/>
      <c r="AD41" s="100"/>
      <c r="AE41" s="100"/>
      <c r="AF41" s="100"/>
      <c r="AG41" s="100"/>
      <c r="AH41" s="100"/>
      <c r="AI41" s="100"/>
      <c r="AJ41" s="100" t="s">
        <v>299</v>
      </c>
      <c r="AK41" s="100"/>
      <c r="AL41" s="100"/>
      <c r="AM41" s="100"/>
      <c r="AN41" s="100"/>
      <c r="AO41" s="100"/>
      <c r="AP41" s="100"/>
      <c r="AQ41" s="100"/>
      <c r="AR41" s="100"/>
      <c r="AS41" s="100"/>
      <c r="AT41" s="100"/>
      <c r="AU41" s="100"/>
      <c r="AV41" s="100"/>
      <c r="AW41" s="100"/>
      <c r="AX41" s="100"/>
      <c r="AY41" s="100"/>
      <c r="AZ41" s="100"/>
      <c r="BA41" s="100"/>
      <c r="BB41" s="107"/>
      <c r="BC41" s="102">
        <f>IF((SUMPRODUCT(--(V41:AV41&lt;&gt;""))=0),"0",(VLOOKUP((MATCH("X",$V41:$AV41,0)), Lists!$E$13:$G$39,3)))</f>
        <v>36</v>
      </c>
      <c r="BD41" s="103">
        <f t="shared" si="0"/>
        <v>7020</v>
      </c>
      <c r="BE41" s="103" t="str">
        <f t="shared" si="1"/>
        <v>-</v>
      </c>
      <c r="BF41" s="146"/>
      <c r="BG41" s="132" t="s">
        <v>15</v>
      </c>
      <c r="BH41" s="132" t="s">
        <v>15</v>
      </c>
      <c r="BI41" s="104">
        <f>IF(ISBLANK($BG41),"-",(IF(BD41="-","-",BD41*(Lists!$K$10/100))))</f>
        <v>1053</v>
      </c>
      <c r="BJ41" s="104">
        <f>IF(ISBLANK($BH41),"-",(IF(BD41="-","-",BD41*(Lists!$K$11/100))))</f>
        <v>702</v>
      </c>
      <c r="BK41" s="104" t="str">
        <f>IF(ISBLANK($BG41),"-",(IF(BE41="-","-",BE41*(Lists!$K$10/100))))</f>
        <v>-</v>
      </c>
      <c r="BL41" s="104" t="str">
        <f>IF(ISBLANK($BH41),"-",(IF(BE41="-","-",BE41*(Lists!$K$11/100))))</f>
        <v>-</v>
      </c>
      <c r="BM41" s="142"/>
      <c r="BN41" s="98" t="s">
        <v>15</v>
      </c>
      <c r="BO41" s="104" t="str">
        <f>IF(ISBLANK(BM41),"-",((Lists!$K$19/100)*(IF(BD41&lt;&gt;"-",BD41,BE41))))</f>
        <v>-</v>
      </c>
      <c r="BP41" s="104">
        <f>IF(ISBLANK(BN41),"-",((Lists!$K$20/100)*(IF(BD41&lt;&gt;"-",BD41,BE41))))</f>
        <v>351</v>
      </c>
    </row>
    <row r="42" spans="1:68" s="155" customFormat="1" ht="41.25" customHeight="1" x14ac:dyDescent="0.25">
      <c r="A42" s="121" t="s">
        <v>90</v>
      </c>
      <c r="B42" s="152"/>
      <c r="C42" s="323" t="s">
        <v>42</v>
      </c>
      <c r="D42" s="323" t="s">
        <v>113</v>
      </c>
      <c r="E42" s="307">
        <v>2260</v>
      </c>
      <c r="F42" s="153" t="s">
        <v>110</v>
      </c>
      <c r="G42" s="153">
        <v>2260</v>
      </c>
      <c r="H42" s="153" t="s">
        <v>295</v>
      </c>
      <c r="I42" s="121"/>
      <c r="J42" s="112" t="s">
        <v>605</v>
      </c>
      <c r="K42" s="314" t="s">
        <v>335</v>
      </c>
      <c r="L42" s="307"/>
      <c r="M42" s="320" t="s">
        <v>15</v>
      </c>
      <c r="N42" s="320" t="s">
        <v>15</v>
      </c>
      <c r="O42" s="332"/>
      <c r="P42" s="332"/>
      <c r="Q42" s="320" t="s">
        <v>15</v>
      </c>
      <c r="R42" s="332"/>
      <c r="S42" s="332"/>
      <c r="T42" s="332"/>
      <c r="U42" s="314" t="s">
        <v>552</v>
      </c>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5"/>
      <c r="BC42" s="102" t="str">
        <f>IF((SUMPRODUCT(--(V42:AV42&lt;&gt;""))=0),"0",(VLOOKUP((MATCH("X",$V42:$AV42,0)), Lists!$E$13:$G$39,3)))</f>
        <v>0</v>
      </c>
      <c r="BD42" s="103">
        <f t="shared" si="0"/>
        <v>0</v>
      </c>
      <c r="BE42" s="103" t="str">
        <f t="shared" si="1"/>
        <v>-</v>
      </c>
      <c r="BF42" s="154"/>
      <c r="BG42" s="122"/>
      <c r="BH42" s="122"/>
      <c r="BI42" s="117" t="str">
        <f>IF(ISBLANK($BG42),"-",(IF(BD42="-","-",BD42*(Lists!$K$10/100))))</f>
        <v>-</v>
      </c>
      <c r="BJ42" s="117" t="str">
        <f>IF(ISBLANK($BH42),"-",(IF(BD42="-","-",BD42*(Lists!$K$11/100))))</f>
        <v>-</v>
      </c>
      <c r="BK42" s="117" t="str">
        <f>IF(ISBLANK($BG42),"-",(IF(BE42="-","-",BE42*(Lists!$K$10/100))))</f>
        <v>-</v>
      </c>
      <c r="BL42" s="117" t="str">
        <f>IF(ISBLANK($BH42),"-",(IF(BE42="-","-",BE42*(Lists!$K$11/100))))</f>
        <v>-</v>
      </c>
      <c r="BM42" s="123"/>
      <c r="BN42" s="123"/>
      <c r="BO42" s="117" t="str">
        <f>IF(ISBLANK(BM42),"-",((Lists!$K$19/100)*(IF(BD42&lt;&gt;"-",BD42,BE42))))</f>
        <v>-</v>
      </c>
      <c r="BP42" s="117" t="str">
        <f>IF(ISBLANK(BN42),"-",((Lists!$K$20/100)*(IF(BD42&lt;&gt;"-",BD42,BE42))))</f>
        <v>-</v>
      </c>
    </row>
    <row r="43" spans="1:68" ht="25.5" customHeight="1" x14ac:dyDescent="0.25">
      <c r="A43" s="130" t="s">
        <v>90</v>
      </c>
      <c r="B43" s="130"/>
      <c r="C43" s="324"/>
      <c r="D43" s="324"/>
      <c r="E43" s="311"/>
      <c r="F43" s="150" t="s">
        <v>110</v>
      </c>
      <c r="G43" s="150">
        <v>2260</v>
      </c>
      <c r="H43" s="150" t="s">
        <v>295</v>
      </c>
      <c r="I43" s="302"/>
      <c r="J43" s="96" t="s">
        <v>687</v>
      </c>
      <c r="K43" s="335"/>
      <c r="L43" s="336"/>
      <c r="M43" s="321"/>
      <c r="N43" s="321"/>
      <c r="O43" s="333"/>
      <c r="P43" s="333"/>
      <c r="Q43" s="321"/>
      <c r="R43" s="333"/>
      <c r="S43" s="333"/>
      <c r="T43" s="333"/>
      <c r="U43" s="336"/>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t="s">
        <v>299</v>
      </c>
      <c r="AW43" s="100"/>
      <c r="AX43" s="100"/>
      <c r="AY43" s="100"/>
      <c r="AZ43" s="100"/>
      <c r="BA43" s="100"/>
      <c r="BB43" s="107"/>
      <c r="BC43" s="102">
        <f>IF((SUMPRODUCT(--(V43:AV43&lt;&gt;""))=0),"0",(VLOOKUP((MATCH("X",$V43:$AV43,0)), Lists!$E$13:$G$39,3)))</f>
        <v>240</v>
      </c>
      <c r="BD43" s="103">
        <f t="shared" si="0"/>
        <v>542400</v>
      </c>
      <c r="BE43" s="103" t="str">
        <f t="shared" si="1"/>
        <v>-</v>
      </c>
      <c r="BF43" s="82"/>
      <c r="BG43" s="122"/>
      <c r="BH43" s="122"/>
      <c r="BI43" s="104" t="str">
        <f>IF(ISBLANK($BG43),"-",(IF(BD43="-","-",BD43*(Lists!$K$10/100))))</f>
        <v>-</v>
      </c>
      <c r="BJ43" s="104" t="str">
        <f>IF(ISBLANK($BH43),"-",(IF(BD43="-","-",BD43*(Lists!$K$11/100))))</f>
        <v>-</v>
      </c>
      <c r="BK43" s="104" t="str">
        <f>IF(ISBLANK($BG43),"-",(IF(BE43="-","-",BE43*(Lists!$K$10/100))))</f>
        <v>-</v>
      </c>
      <c r="BL43" s="104" t="str">
        <f>IF(ISBLANK($BH43),"-",(IF(BE43="-","-",BE43*(Lists!$K$11/100))))</f>
        <v>-</v>
      </c>
      <c r="BM43" s="98" t="s">
        <v>15</v>
      </c>
      <c r="BN43" s="156"/>
      <c r="BO43" s="104">
        <f>IF(ISBLANK(BM43),"-",((Lists!$K$19/100)*(IF(BD43&lt;&gt;"-",BD43,BE43))))</f>
        <v>2712</v>
      </c>
      <c r="BP43" s="104" t="str">
        <f>IF(ISBLANK(BN43),"-",((Lists!$K$20/100)*(IF(BD43&lt;&gt;"-",BD43,BE43))))</f>
        <v>-</v>
      </c>
    </row>
    <row r="44" spans="1:68" ht="25.5" customHeight="1" x14ac:dyDescent="0.25">
      <c r="A44" s="130" t="s">
        <v>90</v>
      </c>
      <c r="B44" s="149"/>
      <c r="C44" s="324"/>
      <c r="D44" s="324"/>
      <c r="E44" s="311"/>
      <c r="F44" s="150" t="s">
        <v>110</v>
      </c>
      <c r="G44" s="150">
        <v>8</v>
      </c>
      <c r="H44" s="150" t="s">
        <v>294</v>
      </c>
      <c r="I44" s="303"/>
      <c r="J44" s="96" t="s">
        <v>507</v>
      </c>
      <c r="K44" s="335"/>
      <c r="L44" s="336"/>
      <c r="M44" s="321"/>
      <c r="N44" s="321"/>
      <c r="O44" s="333"/>
      <c r="P44" s="333"/>
      <c r="Q44" s="321"/>
      <c r="R44" s="333"/>
      <c r="S44" s="333"/>
      <c r="T44" s="333"/>
      <c r="U44" s="336"/>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t="s">
        <v>299</v>
      </c>
      <c r="AU44" s="100"/>
      <c r="AV44" s="100"/>
      <c r="AW44" s="100"/>
      <c r="AX44" s="100"/>
      <c r="AY44" s="100"/>
      <c r="AZ44" s="100"/>
      <c r="BA44" s="100"/>
      <c r="BB44" s="107"/>
      <c r="BC44" s="102">
        <f>IF((SUMPRODUCT(--(V44:AV44&lt;&gt;""))=0),"0",(VLOOKUP((MATCH("X",$V44:$AV44,0)), Lists!$E$13:$G$39,3)))</f>
        <v>20000</v>
      </c>
      <c r="BD44" s="103">
        <f t="shared" si="0"/>
        <v>160000</v>
      </c>
      <c r="BE44" s="103" t="str">
        <f t="shared" si="1"/>
        <v>-</v>
      </c>
      <c r="BF44" s="82"/>
      <c r="BG44" s="122"/>
      <c r="BH44" s="122"/>
      <c r="BI44" s="104" t="str">
        <f>IF(ISBLANK($BG44),"-",(IF(BD44="-","-",BD44*(Lists!$K$10/100))))</f>
        <v>-</v>
      </c>
      <c r="BJ44" s="104" t="str">
        <f>IF(ISBLANK($BH44),"-",(IF(BD44="-","-",BD44*(Lists!$K$11/100))))</f>
        <v>-</v>
      </c>
      <c r="BK44" s="104" t="str">
        <f>IF(ISBLANK($BG44),"-",(IF(BE44="-","-",BE44*(Lists!$K$10/100))))</f>
        <v>-</v>
      </c>
      <c r="BL44" s="104" t="str">
        <f>IF(ISBLANK($BH44),"-",(IF(BE44="-","-",BE44*(Lists!$K$11/100))))</f>
        <v>-</v>
      </c>
      <c r="BM44" s="98" t="s">
        <v>15</v>
      </c>
      <c r="BN44" s="156"/>
      <c r="BO44" s="104">
        <f>IF(ISBLANK(BM44),"-",((Lists!$K$19/100)*(IF(BD44&lt;&gt;"-",BD44,BE44))))</f>
        <v>800</v>
      </c>
      <c r="BP44" s="104" t="str">
        <f>IF(ISBLANK(BN44),"-",((Lists!$K$20/100)*(IF(BD44&lt;&gt;"-",BD44,BE44))))</f>
        <v>-</v>
      </c>
    </row>
    <row r="45" spans="1:68" ht="25.5" customHeight="1" x14ac:dyDescent="0.25">
      <c r="A45" s="130" t="s">
        <v>90</v>
      </c>
      <c r="B45" s="131"/>
      <c r="C45" s="325"/>
      <c r="D45" s="325"/>
      <c r="E45" s="312"/>
      <c r="F45" s="150" t="s">
        <v>110</v>
      </c>
      <c r="G45" s="150">
        <v>2260</v>
      </c>
      <c r="H45" s="150" t="s">
        <v>295</v>
      </c>
      <c r="I45" s="304"/>
      <c r="J45" s="96" t="s">
        <v>363</v>
      </c>
      <c r="K45" s="316"/>
      <c r="L45" s="317"/>
      <c r="M45" s="327"/>
      <c r="N45" s="327"/>
      <c r="O45" s="334"/>
      <c r="P45" s="334"/>
      <c r="Q45" s="327"/>
      <c r="R45" s="334"/>
      <c r="S45" s="334"/>
      <c r="T45" s="334"/>
      <c r="U45" s="317"/>
      <c r="V45" s="100"/>
      <c r="W45" s="100"/>
      <c r="X45" s="100"/>
      <c r="Y45" s="100"/>
      <c r="Z45" s="100"/>
      <c r="AA45" s="100"/>
      <c r="AB45" s="100"/>
      <c r="AC45" s="100"/>
      <c r="AD45" s="100"/>
      <c r="AE45" s="100"/>
      <c r="AF45" s="100"/>
      <c r="AG45" s="100"/>
      <c r="AH45" s="100"/>
      <c r="AI45" s="100"/>
      <c r="AJ45" s="100"/>
      <c r="AK45" s="100"/>
      <c r="AL45" s="100"/>
      <c r="AM45" s="100" t="s">
        <v>299</v>
      </c>
      <c r="AN45" s="100"/>
      <c r="AO45" s="100"/>
      <c r="AP45" s="100"/>
      <c r="AQ45" s="100"/>
      <c r="AR45" s="100"/>
      <c r="AS45" s="100"/>
      <c r="AT45" s="100"/>
      <c r="AU45" s="100"/>
      <c r="AV45" s="100"/>
      <c r="AW45" s="100"/>
      <c r="AX45" s="100"/>
      <c r="AY45" s="100"/>
      <c r="AZ45" s="100"/>
      <c r="BA45" s="100"/>
      <c r="BB45" s="107"/>
      <c r="BC45" s="102">
        <f>IF((SUMPRODUCT(--(V45:AV45&lt;&gt;""))=0),"0",(VLOOKUP((MATCH("X",$V45:$AV45,0)), Lists!$E$13:$G$39,3)))</f>
        <v>50</v>
      </c>
      <c r="BD45" s="103">
        <f t="shared" si="0"/>
        <v>113000</v>
      </c>
      <c r="BE45" s="103" t="str">
        <f t="shared" si="1"/>
        <v>-</v>
      </c>
      <c r="BF45" s="82"/>
      <c r="BG45" s="122"/>
      <c r="BH45" s="122"/>
      <c r="BI45" s="104" t="str">
        <f>IF(ISBLANK($BG45),"-",(IF(BD45="-","-",BD45*(Lists!$K$10/100))))</f>
        <v>-</v>
      </c>
      <c r="BJ45" s="104" t="str">
        <f>IF(ISBLANK($BH45),"-",(IF(BD45="-","-",BD45*(Lists!$K$11/100))))</f>
        <v>-</v>
      </c>
      <c r="BK45" s="104" t="str">
        <f>IF(ISBLANK($BG45),"-",(IF(BE45="-","-",BE45*(Lists!$K$10/100))))</f>
        <v>-</v>
      </c>
      <c r="BL45" s="104" t="str">
        <f>IF(ISBLANK($BH45),"-",(IF(BE45="-","-",BE45*(Lists!$K$11/100))))</f>
        <v>-</v>
      </c>
      <c r="BM45" s="98" t="s">
        <v>15</v>
      </c>
      <c r="BN45" s="156"/>
      <c r="BO45" s="104">
        <f>IF(ISBLANK(BM45),"-",((Lists!$K$19/100)*(IF(BD45&lt;&gt;"-",BD45,BE45))))</f>
        <v>565</v>
      </c>
      <c r="BP45" s="104" t="str">
        <f>IF(ISBLANK(BN45),"-",((Lists!$K$20/100)*(IF(BD45&lt;&gt;"-",BD45,BE45))))</f>
        <v>-</v>
      </c>
    </row>
    <row r="46" spans="1:68" s="147" customFormat="1" ht="25.5" x14ac:dyDescent="0.25">
      <c r="A46" s="130" t="s">
        <v>90</v>
      </c>
      <c r="B46" s="128"/>
      <c r="C46" s="150" t="s">
        <v>113</v>
      </c>
      <c r="D46" s="150" t="s">
        <v>43</v>
      </c>
      <c r="E46" s="150">
        <v>242</v>
      </c>
      <c r="F46" s="150" t="s">
        <v>110</v>
      </c>
      <c r="G46" s="97">
        <v>242</v>
      </c>
      <c r="H46" s="97" t="s">
        <v>295</v>
      </c>
      <c r="I46" s="128"/>
      <c r="J46" s="96" t="s">
        <v>687</v>
      </c>
      <c r="K46" s="141" t="s">
        <v>335</v>
      </c>
      <c r="L46" s="150"/>
      <c r="M46" s="133"/>
      <c r="N46" s="133" t="s">
        <v>15</v>
      </c>
      <c r="O46" s="133"/>
      <c r="P46" s="133"/>
      <c r="Q46" s="133"/>
      <c r="R46" s="133"/>
      <c r="S46" s="133"/>
      <c r="T46" s="133"/>
      <c r="U46" s="141" t="s">
        <v>166</v>
      </c>
      <c r="V46" s="100"/>
      <c r="W46" s="100"/>
      <c r="X46" s="100"/>
      <c r="Y46" s="100"/>
      <c r="Z46" s="100"/>
      <c r="AA46" s="100"/>
      <c r="AB46" s="100" t="s">
        <v>299</v>
      </c>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7"/>
      <c r="BC46" s="102">
        <f>IF((SUMPRODUCT(--(V46:AV46&lt;&gt;""))=0),"0",(VLOOKUP((MATCH("X",$V46:$AV46,0)), Lists!$E$13:$G$39,3)))</f>
        <v>188</v>
      </c>
      <c r="BD46" s="103">
        <f t="shared" si="0"/>
        <v>45496</v>
      </c>
      <c r="BE46" s="103" t="str">
        <f t="shared" si="1"/>
        <v>-</v>
      </c>
      <c r="BF46" s="146"/>
      <c r="BG46" s="132" t="s">
        <v>15</v>
      </c>
      <c r="BH46" s="132" t="s">
        <v>15</v>
      </c>
      <c r="BI46" s="104">
        <f>IF(ISBLANK($BG46),"-",(IF(BD46="-","-",BD46*(Lists!$K$10/100))))</f>
        <v>6824.4</v>
      </c>
      <c r="BJ46" s="104">
        <f>IF(ISBLANK($BH46),"-",(IF(BD46="-","-",BD46*(Lists!$K$11/100))))</f>
        <v>4549.6000000000004</v>
      </c>
      <c r="BK46" s="104" t="str">
        <f>IF(ISBLANK($BG46),"-",(IF(BE46="-","-",BE46*(Lists!$K$10/100))))</f>
        <v>-</v>
      </c>
      <c r="BL46" s="104" t="str">
        <f>IF(ISBLANK($BH46),"-",(IF(BE46="-","-",BE46*(Lists!$K$11/100))))</f>
        <v>-</v>
      </c>
      <c r="BM46" s="133"/>
      <c r="BN46" s="98" t="s">
        <v>15</v>
      </c>
      <c r="BO46" s="104" t="str">
        <f>IF(ISBLANK(BM46),"-",((Lists!$K$19/100)*(IF(BD46&lt;&gt;"-",BD46,BE46))))</f>
        <v>-</v>
      </c>
      <c r="BP46" s="104">
        <f>IF(ISBLANK(BN46),"-",((Lists!$K$20/100)*(IF(BD46&lt;&gt;"-",BD46,BE46))))</f>
        <v>2274.8000000000002</v>
      </c>
    </row>
    <row r="47" spans="1:68" ht="41.25" customHeight="1" x14ac:dyDescent="0.25">
      <c r="A47" s="128" t="s">
        <v>89</v>
      </c>
      <c r="B47" s="128"/>
      <c r="C47" s="309" t="s">
        <v>28</v>
      </c>
      <c r="D47" s="309" t="s">
        <v>29</v>
      </c>
      <c r="E47" s="307">
        <v>1940</v>
      </c>
      <c r="F47" s="97" t="s">
        <v>110</v>
      </c>
      <c r="G47" s="97">
        <v>1940</v>
      </c>
      <c r="H47" s="97" t="s">
        <v>295</v>
      </c>
      <c r="I47" s="318"/>
      <c r="J47" s="96" t="s">
        <v>97</v>
      </c>
      <c r="K47" s="314" t="s">
        <v>337</v>
      </c>
      <c r="L47" s="309"/>
      <c r="M47" s="320" t="s">
        <v>15</v>
      </c>
      <c r="N47" s="305"/>
      <c r="O47" s="305"/>
      <c r="P47" s="320" t="s">
        <v>15</v>
      </c>
      <c r="Q47" s="320" t="s">
        <v>15</v>
      </c>
      <c r="R47" s="320" t="s">
        <v>15</v>
      </c>
      <c r="S47" s="320" t="s">
        <v>15</v>
      </c>
      <c r="T47" s="320"/>
      <c r="U47" s="328" t="s">
        <v>384</v>
      </c>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t="s">
        <v>299</v>
      </c>
      <c r="AS47" s="100"/>
      <c r="AT47" s="100"/>
      <c r="AU47" s="100"/>
      <c r="AV47" s="100"/>
      <c r="AW47" s="100"/>
      <c r="AX47" s="100"/>
      <c r="AY47" s="100"/>
      <c r="AZ47" s="100"/>
      <c r="BA47" s="100"/>
      <c r="BB47" s="107"/>
      <c r="BC47" s="102">
        <f>IF((SUMPRODUCT(--(V47:AV47&lt;&gt;""))=0),"0",(VLOOKUP((MATCH("X",$V47:$AV47,0)), Lists!$E$13:$G$39,3)))</f>
        <v>510</v>
      </c>
      <c r="BD47" s="103">
        <f t="shared" si="0"/>
        <v>989400</v>
      </c>
      <c r="BE47" s="103" t="str">
        <f t="shared" si="1"/>
        <v>-</v>
      </c>
      <c r="BF47" s="82"/>
      <c r="BG47" s="132" t="s">
        <v>15</v>
      </c>
      <c r="BH47" s="132" t="s">
        <v>15</v>
      </c>
      <c r="BI47" s="104">
        <f>IF(ISBLANK($BG47),"-",(IF(BD47="-","-",BD47*(Lists!$K$10/100))))</f>
        <v>148410</v>
      </c>
      <c r="BJ47" s="104">
        <f>IF(ISBLANK($BH47),"-",(IF(BD47="-","-",BD47*(Lists!$K$11/100))))</f>
        <v>98940</v>
      </c>
      <c r="BK47" s="104" t="str">
        <f>IF(ISBLANK($BG47),"-",(IF(BE47="-","-",BE47*(Lists!$K$10/100))))</f>
        <v>-</v>
      </c>
      <c r="BL47" s="104" t="str">
        <f>IF(ISBLANK($BH47),"-",(IF(BE47="-","-",BE47*(Lists!$K$11/100))))</f>
        <v>-</v>
      </c>
      <c r="BM47" s="133"/>
      <c r="BN47" s="98" t="s">
        <v>15</v>
      </c>
      <c r="BO47" s="104" t="str">
        <f>IF(ISBLANK(BM47),"-",((Lists!$K$19/100)*(IF(BD47&lt;&gt;"-",BD47,BE47))))</f>
        <v>-</v>
      </c>
      <c r="BP47" s="104">
        <f>IF(ISBLANK(BN47),"-",((Lists!$K$20/100)*(IF(BD47&lt;&gt;"-",BD47,BE47))))</f>
        <v>49470</v>
      </c>
    </row>
    <row r="48" spans="1:68" ht="41.25" customHeight="1" x14ac:dyDescent="0.25">
      <c r="A48" s="128" t="s">
        <v>89</v>
      </c>
      <c r="B48" s="128"/>
      <c r="C48" s="309"/>
      <c r="D48" s="309"/>
      <c r="E48" s="311"/>
      <c r="F48" s="97" t="s">
        <v>110</v>
      </c>
      <c r="G48" s="97">
        <v>1940</v>
      </c>
      <c r="H48" s="97" t="s">
        <v>295</v>
      </c>
      <c r="I48" s="318"/>
      <c r="J48" s="96" t="s">
        <v>494</v>
      </c>
      <c r="K48" s="315"/>
      <c r="L48" s="309"/>
      <c r="M48" s="321"/>
      <c r="N48" s="329"/>
      <c r="O48" s="329"/>
      <c r="P48" s="321"/>
      <c r="Q48" s="321"/>
      <c r="R48" s="321"/>
      <c r="S48" s="321"/>
      <c r="T48" s="321"/>
      <c r="U48" s="328"/>
      <c r="V48" s="100"/>
      <c r="W48" s="100"/>
      <c r="X48" s="100"/>
      <c r="Y48" s="100"/>
      <c r="Z48" s="100"/>
      <c r="AA48" s="100"/>
      <c r="AB48" s="100"/>
      <c r="AC48" s="100"/>
      <c r="AD48" s="100"/>
      <c r="AE48" s="100"/>
      <c r="AF48" s="100"/>
      <c r="AG48" s="100"/>
      <c r="AH48" s="100"/>
      <c r="AI48" s="100"/>
      <c r="AJ48" s="100"/>
      <c r="AK48" s="100"/>
      <c r="AL48" s="100"/>
      <c r="AM48" s="100" t="s">
        <v>299</v>
      </c>
      <c r="AN48" s="100"/>
      <c r="AO48" s="100"/>
      <c r="AP48" s="100"/>
      <c r="AQ48" s="100"/>
      <c r="AR48" s="100"/>
      <c r="AS48" s="100"/>
      <c r="AT48" s="100"/>
      <c r="AU48" s="100"/>
      <c r="AV48" s="100"/>
      <c r="AW48" s="100"/>
      <c r="AX48" s="100"/>
      <c r="AY48" s="100"/>
      <c r="AZ48" s="100"/>
      <c r="BA48" s="100"/>
      <c r="BB48" s="107"/>
      <c r="BC48" s="102">
        <f>IF((SUMPRODUCT(--(V48:AV48&lt;&gt;""))=0),"0",(VLOOKUP((MATCH("X",$V48:$AV48,0)), Lists!$E$13:$G$39,3)))</f>
        <v>50</v>
      </c>
      <c r="BD48" s="103">
        <f t="shared" si="0"/>
        <v>97000</v>
      </c>
      <c r="BE48" s="103" t="str">
        <f t="shared" si="1"/>
        <v>-</v>
      </c>
      <c r="BF48" s="82"/>
      <c r="BG48" s="132" t="s">
        <v>15</v>
      </c>
      <c r="BH48" s="132" t="s">
        <v>15</v>
      </c>
      <c r="BI48" s="104">
        <f>IF(ISBLANK($BG48),"-",(IF(BD48="-","-",BD48*(Lists!$K$10/100))))</f>
        <v>14550</v>
      </c>
      <c r="BJ48" s="104">
        <f>IF(ISBLANK($BH48),"-",(IF(BD48="-","-",BD48*(Lists!$K$11/100))))</f>
        <v>9700</v>
      </c>
      <c r="BK48" s="104" t="str">
        <f>IF(ISBLANK($BG48),"-",(IF(BE48="-","-",BE48*(Lists!$K$10/100))))</f>
        <v>-</v>
      </c>
      <c r="BL48" s="104" t="str">
        <f>IF(ISBLANK($BH48),"-",(IF(BE48="-","-",BE48*(Lists!$K$11/100))))</f>
        <v>-</v>
      </c>
      <c r="BM48" s="144"/>
      <c r="BN48" s="98" t="s">
        <v>15</v>
      </c>
      <c r="BO48" s="104" t="str">
        <f>IF(ISBLANK(BM48),"-",((Lists!$K$19/100)*(IF(BD48&lt;&gt;"-",BD48,BE48))))</f>
        <v>-</v>
      </c>
      <c r="BP48" s="104">
        <f>IF(ISBLANK(BN48),"-",((Lists!$K$20/100)*(IF(BD48&lt;&gt;"-",BD48,BE48))))</f>
        <v>4850</v>
      </c>
    </row>
    <row r="49" spans="1:68" ht="41.25" customHeight="1" x14ac:dyDescent="0.25">
      <c r="A49" s="128" t="s">
        <v>89</v>
      </c>
      <c r="B49" s="128"/>
      <c r="C49" s="309"/>
      <c r="D49" s="309"/>
      <c r="E49" s="312"/>
      <c r="F49" s="97" t="s">
        <v>110</v>
      </c>
      <c r="G49" s="97">
        <v>3880</v>
      </c>
      <c r="H49" s="97" t="s">
        <v>295</v>
      </c>
      <c r="I49" s="318"/>
      <c r="J49" s="96" t="s">
        <v>319</v>
      </c>
      <c r="K49" s="319"/>
      <c r="L49" s="309"/>
      <c r="M49" s="327"/>
      <c r="N49" s="306"/>
      <c r="O49" s="306"/>
      <c r="P49" s="327"/>
      <c r="Q49" s="327"/>
      <c r="R49" s="327"/>
      <c r="S49" s="327"/>
      <c r="T49" s="327"/>
      <c r="U49" s="318"/>
      <c r="V49" s="100"/>
      <c r="W49" s="100"/>
      <c r="X49" s="100"/>
      <c r="Y49" s="100"/>
      <c r="Z49" s="100"/>
      <c r="AA49" s="100"/>
      <c r="AB49" s="100"/>
      <c r="AC49" s="100"/>
      <c r="AD49" s="100"/>
      <c r="AE49" s="100"/>
      <c r="AF49" s="100"/>
      <c r="AG49" s="100"/>
      <c r="AH49" s="100"/>
      <c r="AI49" s="100"/>
      <c r="AJ49" s="100" t="s">
        <v>299</v>
      </c>
      <c r="AK49" s="100"/>
      <c r="AL49" s="100"/>
      <c r="AM49" s="100"/>
      <c r="AN49" s="100"/>
      <c r="AO49" s="100"/>
      <c r="AP49" s="100"/>
      <c r="AQ49" s="100"/>
      <c r="AR49" s="100"/>
      <c r="AS49" s="100"/>
      <c r="AT49" s="100"/>
      <c r="AU49" s="100"/>
      <c r="AV49" s="100"/>
      <c r="AW49" s="100"/>
      <c r="AX49" s="100"/>
      <c r="AY49" s="100"/>
      <c r="AZ49" s="100"/>
      <c r="BA49" s="100"/>
      <c r="BB49" s="107"/>
      <c r="BC49" s="102">
        <f>IF((SUMPRODUCT(--(V49:AV49&lt;&gt;""))=0),"0",(VLOOKUP((MATCH("X",$V49:$AV49,0)), Lists!$E$13:$G$39,3)))</f>
        <v>36</v>
      </c>
      <c r="BD49" s="103">
        <f t="shared" si="0"/>
        <v>139680</v>
      </c>
      <c r="BE49" s="103" t="str">
        <f t="shared" si="1"/>
        <v>-</v>
      </c>
      <c r="BF49" s="82"/>
      <c r="BG49" s="132" t="s">
        <v>15</v>
      </c>
      <c r="BH49" s="132" t="s">
        <v>15</v>
      </c>
      <c r="BI49" s="104">
        <f>IF(ISBLANK($BG49),"-",(IF(BD49="-","-",BD49*(Lists!$K$10/100))))</f>
        <v>20952</v>
      </c>
      <c r="BJ49" s="104">
        <f>IF(ISBLANK($BH49),"-",(IF(BD49="-","-",BD49*(Lists!$K$11/100))))</f>
        <v>13968</v>
      </c>
      <c r="BK49" s="104" t="str">
        <f>IF(ISBLANK($BG49),"-",(IF(BE49="-","-",BE49*(Lists!$K$10/100))))</f>
        <v>-</v>
      </c>
      <c r="BL49" s="104" t="str">
        <f>IF(ISBLANK($BH49),"-",(IF(BE49="-","-",BE49*(Lists!$K$11/100))))</f>
        <v>-</v>
      </c>
      <c r="BM49" s="145"/>
      <c r="BN49" s="98" t="s">
        <v>15</v>
      </c>
      <c r="BO49" s="104" t="str">
        <f>IF(ISBLANK(BM49),"-",((Lists!$K$19/100)*(IF(BD49&lt;&gt;"-",BD49,BE49))))</f>
        <v>-</v>
      </c>
      <c r="BP49" s="104">
        <f>IF(ISBLANK(BN49),"-",((Lists!$K$20/100)*(IF(BD49&lt;&gt;"-",BD49,BE49))))</f>
        <v>6984</v>
      </c>
    </row>
    <row r="50" spans="1:68" ht="71.25" customHeight="1" x14ac:dyDescent="0.25">
      <c r="A50" s="105" t="s">
        <v>89</v>
      </c>
      <c r="B50" s="128"/>
      <c r="C50" s="97" t="s">
        <v>29</v>
      </c>
      <c r="D50" s="97" t="s">
        <v>139</v>
      </c>
      <c r="E50" s="97">
        <v>106</v>
      </c>
      <c r="F50" s="97" t="s">
        <v>110</v>
      </c>
      <c r="G50" s="97">
        <v>106</v>
      </c>
      <c r="H50" s="97" t="s">
        <v>295</v>
      </c>
      <c r="I50" s="128"/>
      <c r="J50" s="96" t="s">
        <v>320</v>
      </c>
      <c r="K50" s="96" t="s">
        <v>334</v>
      </c>
      <c r="L50" s="97">
        <v>30</v>
      </c>
      <c r="M50" s="129"/>
      <c r="N50" s="98" t="s">
        <v>15</v>
      </c>
      <c r="O50" s="129"/>
      <c r="P50" s="129"/>
      <c r="Q50" s="98" t="s">
        <v>15</v>
      </c>
      <c r="R50" s="129"/>
      <c r="S50" s="129"/>
      <c r="T50" s="129"/>
      <c r="U50" s="96" t="s">
        <v>480</v>
      </c>
      <c r="V50" s="100"/>
      <c r="W50" s="100"/>
      <c r="X50" s="100"/>
      <c r="Y50" s="100"/>
      <c r="Z50" s="100"/>
      <c r="AA50" s="100"/>
      <c r="AB50" s="100"/>
      <c r="AC50" s="100"/>
      <c r="AD50" s="100"/>
      <c r="AE50" s="100"/>
      <c r="AF50" s="100"/>
      <c r="AG50" s="100" t="s">
        <v>299</v>
      </c>
      <c r="AH50" s="100"/>
      <c r="AI50" s="100"/>
      <c r="AJ50" s="100"/>
      <c r="AK50" s="100"/>
      <c r="AL50" s="100"/>
      <c r="AM50" s="100"/>
      <c r="AN50" s="100"/>
      <c r="AO50" s="100"/>
      <c r="AP50" s="100"/>
      <c r="AQ50" s="100"/>
      <c r="AR50" s="100"/>
      <c r="AS50" s="100"/>
      <c r="AT50" s="100"/>
      <c r="AU50" s="100"/>
      <c r="AV50" s="100"/>
      <c r="AW50" s="100"/>
      <c r="AX50" s="100"/>
      <c r="AY50" s="100"/>
      <c r="AZ50" s="100"/>
      <c r="BA50" s="100"/>
      <c r="BB50" s="107"/>
      <c r="BC50" s="102">
        <f>IF((SUMPRODUCT(--(V50:AV50&lt;&gt;""))=0),"0",(VLOOKUP((MATCH("X",$V50:$AV50,0)), Lists!$E$13:$G$39,3)))</f>
        <v>295</v>
      </c>
      <c r="BD50" s="103">
        <f t="shared" si="0"/>
        <v>31270</v>
      </c>
      <c r="BE50" s="103" t="str">
        <f t="shared" si="1"/>
        <v>-</v>
      </c>
      <c r="BF50" s="82"/>
      <c r="BG50" s="98"/>
      <c r="BH50" s="98"/>
      <c r="BI50" s="104" t="str">
        <f>IF(ISBLANK($BG50),"-",(IF(BD50="-","-",BD50*(Lists!$K$10/100))))</f>
        <v>-</v>
      </c>
      <c r="BJ50" s="104" t="str">
        <f>IF(ISBLANK($BH50),"-",(IF(BD50="-","-",BD50*(Lists!$K$11/100))))</f>
        <v>-</v>
      </c>
      <c r="BK50" s="104" t="str">
        <f>IF(ISBLANK($BG50),"-",(IF(BE50="-","-",BE50*(Lists!$K$10/100))))</f>
        <v>-</v>
      </c>
      <c r="BL50" s="104" t="str">
        <f>IF(ISBLANK($BH50),"-",(IF(BE50="-","-",BE50*(Lists!$K$11/100))))</f>
        <v>-</v>
      </c>
      <c r="BM50" s="129"/>
      <c r="BN50" s="129"/>
      <c r="BO50" s="104" t="str">
        <f>IF(ISBLANK(BM50),"-",((Lists!$K$19/100)*(IF(BD50&lt;&gt;"-",BD50,BE50))))</f>
        <v>-</v>
      </c>
      <c r="BP50" s="104" t="str">
        <f>IF(ISBLANK(BN50),"-",((Lists!$K$20/100)*(IF(BD50&lt;&gt;"-",BD50,BE50))))</f>
        <v>-</v>
      </c>
    </row>
    <row r="51" spans="1:68" s="157" customFormat="1" ht="25.5" x14ac:dyDescent="0.25">
      <c r="A51" s="105" t="s">
        <v>89</v>
      </c>
      <c r="B51" s="128"/>
      <c r="C51" s="97" t="s">
        <v>117</v>
      </c>
      <c r="D51" s="106" t="s">
        <v>139</v>
      </c>
      <c r="E51" s="97" t="s">
        <v>110</v>
      </c>
      <c r="F51" s="97" t="s">
        <v>110</v>
      </c>
      <c r="G51" s="97">
        <v>1</v>
      </c>
      <c r="H51" s="97" t="s">
        <v>294</v>
      </c>
      <c r="I51" s="128"/>
      <c r="J51" s="96" t="s">
        <v>321</v>
      </c>
      <c r="K51" s="96" t="s">
        <v>334</v>
      </c>
      <c r="L51" s="106">
        <v>30</v>
      </c>
      <c r="M51" s="129"/>
      <c r="N51" s="129"/>
      <c r="O51" s="129"/>
      <c r="P51" s="129"/>
      <c r="Q51" s="98" t="s">
        <v>15</v>
      </c>
      <c r="R51" s="129"/>
      <c r="S51" s="129"/>
      <c r="T51" s="129"/>
      <c r="U51" s="96" t="s">
        <v>322</v>
      </c>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t="s">
        <v>299</v>
      </c>
      <c r="AZ51" s="100"/>
      <c r="BA51" s="100"/>
      <c r="BB51" s="134">
        <v>20950</v>
      </c>
      <c r="BC51" s="102" t="str">
        <f>IF((SUMPRODUCT(--(V51:AV51&lt;&gt;""))=0),"0",(VLOOKUP((MATCH("X",$V51:$AV51,0)), Lists!$E$13:$G$39,3)))</f>
        <v>0</v>
      </c>
      <c r="BD51" s="103">
        <f t="shared" si="0"/>
        <v>20950</v>
      </c>
      <c r="BE51" s="103" t="str">
        <f t="shared" si="1"/>
        <v>-</v>
      </c>
      <c r="BF51" s="94" t="s">
        <v>473</v>
      </c>
      <c r="BG51" s="98"/>
      <c r="BH51" s="98"/>
      <c r="BI51" s="104" t="str">
        <f>IF(ISBLANK($BG51),"-",(IF(BD51="-","-",BD51*(Lists!$K$10/100))))</f>
        <v>-</v>
      </c>
      <c r="BJ51" s="104" t="str">
        <f>IF(ISBLANK($BH51),"-",(IF(BD51="-","-",BD51*(Lists!$K$11/100))))</f>
        <v>-</v>
      </c>
      <c r="BK51" s="104" t="str">
        <f>IF(ISBLANK($BG51),"-",(IF(BE51="-","-",BE51*(Lists!$K$10/100))))</f>
        <v>-</v>
      </c>
      <c r="BL51" s="104" t="str">
        <f>IF(ISBLANK($BH51),"-",(IF(BE51="-","-",BE51*(Lists!$K$11/100))))</f>
        <v>-</v>
      </c>
      <c r="BM51" s="129"/>
      <c r="BN51" s="129"/>
      <c r="BO51" s="104" t="str">
        <f>IF(ISBLANK(BM51),"-",((Lists!$K$19/100)*(IF(BD51&lt;&gt;"-",BD51,BE51))))</f>
        <v>-</v>
      </c>
      <c r="BP51" s="104" t="str">
        <f>IF(ISBLANK(BN51),"-",((Lists!$K$20/100)*(IF(BD51&lt;&gt;"-",BD51,BE51))))</f>
        <v>-</v>
      </c>
    </row>
    <row r="52" spans="1:68" s="157" customFormat="1" ht="63.75" x14ac:dyDescent="0.25">
      <c r="A52" s="105" t="s">
        <v>89</v>
      </c>
      <c r="B52" s="128"/>
      <c r="C52" s="97" t="s">
        <v>117</v>
      </c>
      <c r="D52" s="106" t="s">
        <v>30</v>
      </c>
      <c r="E52" s="97">
        <v>368</v>
      </c>
      <c r="F52" s="97" t="s">
        <v>110</v>
      </c>
      <c r="G52" s="97">
        <v>2</v>
      </c>
      <c r="H52" s="97" t="s">
        <v>294</v>
      </c>
      <c r="I52" s="128"/>
      <c r="J52" s="96" t="s">
        <v>667</v>
      </c>
      <c r="K52" s="96" t="s">
        <v>334</v>
      </c>
      <c r="L52" s="106">
        <v>30</v>
      </c>
      <c r="M52" s="129"/>
      <c r="N52" s="129"/>
      <c r="O52" s="129"/>
      <c r="P52" s="129" t="s">
        <v>15</v>
      </c>
      <c r="Q52" s="98"/>
      <c r="R52" s="129"/>
      <c r="S52" s="129" t="s">
        <v>15</v>
      </c>
      <c r="T52" s="129"/>
      <c r="U52" s="96" t="s">
        <v>332</v>
      </c>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t="s">
        <v>299</v>
      </c>
      <c r="BA52" s="100"/>
      <c r="BB52" s="107">
        <v>5000</v>
      </c>
      <c r="BC52" s="102" t="str">
        <f>IF((SUMPRODUCT(--(V52:AV52&lt;&gt;""))=0),"0",(VLOOKUP((MATCH("X",$V52:$AV52,0)), Lists!$E$13:$G$39,3)))</f>
        <v>0</v>
      </c>
      <c r="BD52" s="103">
        <f t="shared" si="0"/>
        <v>10000</v>
      </c>
      <c r="BE52" s="103" t="str">
        <f t="shared" si="1"/>
        <v>-</v>
      </c>
      <c r="BF52" s="158"/>
      <c r="BG52" s="98"/>
      <c r="BH52" s="98"/>
      <c r="BI52" s="104" t="str">
        <f>IF(ISBLANK($BG52),"-",(IF(BD52="-","-",BD52*(Lists!$K$10/100))))</f>
        <v>-</v>
      </c>
      <c r="BJ52" s="104" t="str">
        <f>IF(ISBLANK($BH52),"-",(IF(BD52="-","-",BD52*(Lists!$K$11/100))))</f>
        <v>-</v>
      </c>
      <c r="BK52" s="104" t="str">
        <f>IF(ISBLANK($BG52),"-",(IF(BE52="-","-",BE52*(Lists!$K$10/100))))</f>
        <v>-</v>
      </c>
      <c r="BL52" s="104" t="str">
        <f>IF(ISBLANK($BH52),"-",(IF(BE52="-","-",BE52*(Lists!$K$11/100))))</f>
        <v>-</v>
      </c>
      <c r="BM52" s="129"/>
      <c r="BN52" s="129"/>
      <c r="BO52" s="104" t="str">
        <f>IF(ISBLANK(BM52),"-",((Lists!$K$19/100)*(IF(BD52&lt;&gt;"-",BD52,BE52))))</f>
        <v>-</v>
      </c>
      <c r="BP52" s="104" t="str">
        <f>IF(ISBLANK(BN52),"-",((Lists!$K$20/100)*(IF(BD52&lt;&gt;"-",BD52,BE52))))</f>
        <v>-</v>
      </c>
    </row>
    <row r="53" spans="1:68" ht="51" x14ac:dyDescent="0.25">
      <c r="A53" s="105" t="s">
        <v>89</v>
      </c>
      <c r="B53" s="128"/>
      <c r="C53" s="97" t="s">
        <v>30</v>
      </c>
      <c r="D53" s="97" t="s">
        <v>126</v>
      </c>
      <c r="E53" s="97">
        <v>171</v>
      </c>
      <c r="F53" s="97">
        <v>3</v>
      </c>
      <c r="G53" s="97">
        <f>E53*F53</f>
        <v>513</v>
      </c>
      <c r="H53" s="97" t="s">
        <v>295</v>
      </c>
      <c r="I53" s="128"/>
      <c r="J53" s="96" t="s">
        <v>140</v>
      </c>
      <c r="K53" s="96" t="s">
        <v>338</v>
      </c>
      <c r="L53" s="97"/>
      <c r="M53" s="129"/>
      <c r="N53" s="129"/>
      <c r="O53" s="129"/>
      <c r="P53" s="129"/>
      <c r="Q53" s="98" t="s">
        <v>15</v>
      </c>
      <c r="R53" s="98" t="s">
        <v>15</v>
      </c>
      <c r="S53" s="129" t="s">
        <v>15</v>
      </c>
      <c r="T53" s="98" t="s">
        <v>15</v>
      </c>
      <c r="U53" s="96" t="s">
        <v>698</v>
      </c>
      <c r="V53" s="100"/>
      <c r="W53" s="100"/>
      <c r="X53" s="100"/>
      <c r="Y53" s="100"/>
      <c r="Z53" s="100"/>
      <c r="AA53" s="100"/>
      <c r="AB53" s="100"/>
      <c r="AC53" s="100"/>
      <c r="AD53" s="100"/>
      <c r="AE53" s="100"/>
      <c r="AF53" s="100"/>
      <c r="AG53" s="100"/>
      <c r="AH53" s="100"/>
      <c r="AI53" s="100" t="s">
        <v>299</v>
      </c>
      <c r="AJ53" s="100"/>
      <c r="AK53" s="100"/>
      <c r="AL53" s="100"/>
      <c r="AM53" s="100"/>
      <c r="AN53" s="100"/>
      <c r="AO53" s="100"/>
      <c r="AP53" s="100"/>
      <c r="AQ53" s="100"/>
      <c r="AR53" s="100"/>
      <c r="AS53" s="100"/>
      <c r="AT53" s="100"/>
      <c r="AU53" s="100"/>
      <c r="AV53" s="100"/>
      <c r="AW53" s="100"/>
      <c r="AX53" s="100"/>
      <c r="AY53" s="100"/>
      <c r="AZ53" s="100"/>
      <c r="BA53" s="100"/>
      <c r="BB53" s="107"/>
      <c r="BC53" s="102">
        <f>IF((SUMPRODUCT(--(V53:AV53&lt;&gt;""))=0),"0",(VLOOKUP((MATCH("X",$V53:$AV53,0)), Lists!$E$13:$G$39,3)))</f>
        <v>65</v>
      </c>
      <c r="BD53" s="103">
        <f t="shared" si="0"/>
        <v>33345</v>
      </c>
      <c r="BE53" s="103" t="str">
        <f t="shared" si="1"/>
        <v>-</v>
      </c>
      <c r="BF53" s="82"/>
      <c r="BG53" s="98" t="s">
        <v>15</v>
      </c>
      <c r="BH53" s="98" t="s">
        <v>15</v>
      </c>
      <c r="BI53" s="104">
        <f>IF(ISBLANK($BG53),"-",(IF(BD53="-","-",BD53*(Lists!$K$10/100))))</f>
        <v>5001.75</v>
      </c>
      <c r="BJ53" s="104">
        <f>IF(ISBLANK($BH53),"-",(IF(BD53="-","-",BD53*(Lists!$K$11/100))))</f>
        <v>3334.5</v>
      </c>
      <c r="BK53" s="104" t="str">
        <f>IF(ISBLANK($BG53),"-",(IF(BE53="-","-",BE53*(Lists!$K$10/100))))</f>
        <v>-</v>
      </c>
      <c r="BL53" s="104" t="str">
        <f>IF(ISBLANK($BH53),"-",(IF(BE53="-","-",BE53*(Lists!$K$11/100))))</f>
        <v>-</v>
      </c>
      <c r="BM53" s="98"/>
      <c r="BN53" s="98" t="s">
        <v>15</v>
      </c>
      <c r="BO53" s="104" t="str">
        <f>IF(ISBLANK(BM53),"-",((Lists!$K$19/100)*(IF(BD53&lt;&gt;"-",BD53,BE53))))</f>
        <v>-</v>
      </c>
      <c r="BP53" s="104">
        <f>IF(ISBLANK(BN53),"-",((Lists!$K$20/100)*(IF(BD53&lt;&gt;"-",BD53,BE53))))</f>
        <v>1667.25</v>
      </c>
    </row>
    <row r="54" spans="1:68" ht="51" x14ac:dyDescent="0.25">
      <c r="A54" s="105" t="s">
        <v>89</v>
      </c>
      <c r="B54" s="128"/>
      <c r="C54" s="97" t="s">
        <v>127</v>
      </c>
      <c r="D54" s="97" t="s">
        <v>128</v>
      </c>
      <c r="E54" s="97">
        <v>343</v>
      </c>
      <c r="F54" s="97" t="s">
        <v>110</v>
      </c>
      <c r="G54" s="97">
        <v>343</v>
      </c>
      <c r="H54" s="97" t="s">
        <v>295</v>
      </c>
      <c r="I54" s="128"/>
      <c r="J54" s="96" t="s">
        <v>652</v>
      </c>
      <c r="K54" s="96" t="s">
        <v>683</v>
      </c>
      <c r="L54" s="97"/>
      <c r="M54" s="129"/>
      <c r="N54" s="129"/>
      <c r="O54" s="129"/>
      <c r="P54" s="129"/>
      <c r="Q54" s="98" t="s">
        <v>15</v>
      </c>
      <c r="R54" s="98" t="s">
        <v>15</v>
      </c>
      <c r="S54" s="98"/>
      <c r="T54" s="98" t="s">
        <v>15</v>
      </c>
      <c r="U54" s="96" t="s">
        <v>702</v>
      </c>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t="s">
        <v>299</v>
      </c>
      <c r="AR54" s="100"/>
      <c r="AS54" s="100"/>
      <c r="AT54" s="100"/>
      <c r="AU54" s="100"/>
      <c r="AV54" s="100"/>
      <c r="AW54" s="100"/>
      <c r="AX54" s="100"/>
      <c r="AY54" s="100"/>
      <c r="AZ54" s="100"/>
      <c r="BA54" s="100"/>
      <c r="BB54" s="107"/>
      <c r="BC54" s="102">
        <f>IF((SUMPRODUCT(--(V54:AV54&lt;&gt;""))=0),"0",(VLOOKUP((MATCH("X",$V54:$AV54,0)), Lists!$E$13:$G$39,3)))</f>
        <v>1525</v>
      </c>
      <c r="BD54" s="103">
        <f t="shared" si="0"/>
        <v>523075</v>
      </c>
      <c r="BE54" s="103" t="str">
        <f t="shared" si="1"/>
        <v>-</v>
      </c>
      <c r="BF54" s="82"/>
      <c r="BG54" s="98" t="s">
        <v>15</v>
      </c>
      <c r="BH54" s="98" t="s">
        <v>15</v>
      </c>
      <c r="BI54" s="104">
        <f>IF(ISBLANK($BG54),"-",(IF(BD54="-","-",BD54*(Lists!$K$10/100))))</f>
        <v>78461.25</v>
      </c>
      <c r="BJ54" s="104">
        <f>IF(ISBLANK($BH54),"-",(IF(BD54="-","-",BD54*(Lists!$K$11/100))))</f>
        <v>52307.5</v>
      </c>
      <c r="BK54" s="104" t="str">
        <f>IF(ISBLANK($BG54),"-",(IF(BE54="-","-",BE54*(Lists!$K$10/100))))</f>
        <v>-</v>
      </c>
      <c r="BL54" s="104" t="str">
        <f>IF(ISBLANK($BH54),"-",(IF(BE54="-","-",BE54*(Lists!$K$11/100))))</f>
        <v>-</v>
      </c>
      <c r="BM54" s="98"/>
      <c r="BN54" s="98" t="s">
        <v>15</v>
      </c>
      <c r="BO54" s="104" t="str">
        <f>IF(ISBLANK(BM54),"-",((Lists!$K$19/100)*(IF(BD54&lt;&gt;"-",BD54,BE54))))</f>
        <v>-</v>
      </c>
      <c r="BP54" s="104">
        <f>IF(ISBLANK(BN54),"-",((Lists!$K$20/100)*(IF(BD54&lt;&gt;"-",BD54,BE54))))</f>
        <v>26153.75</v>
      </c>
    </row>
    <row r="55" spans="1:68" x14ac:dyDescent="0.25">
      <c r="A55" s="105" t="s">
        <v>89</v>
      </c>
      <c r="B55" s="128"/>
      <c r="C55" s="97" t="s">
        <v>128</v>
      </c>
      <c r="D55" s="97" t="s">
        <v>31</v>
      </c>
      <c r="E55" s="97">
        <v>57</v>
      </c>
      <c r="F55" s="97" t="s">
        <v>110</v>
      </c>
      <c r="G55" s="97">
        <v>57</v>
      </c>
      <c r="H55" s="97" t="s">
        <v>295</v>
      </c>
      <c r="I55" s="128"/>
      <c r="J55" s="96" t="s">
        <v>325</v>
      </c>
      <c r="K55" s="96" t="s">
        <v>339</v>
      </c>
      <c r="L55" s="97"/>
      <c r="M55" s="129"/>
      <c r="N55" s="129"/>
      <c r="O55" s="129"/>
      <c r="P55" s="129"/>
      <c r="Q55" s="98"/>
      <c r="R55" s="98"/>
      <c r="S55" s="129"/>
      <c r="T55" s="98"/>
      <c r="U55" s="96" t="s">
        <v>129</v>
      </c>
      <c r="V55" s="100"/>
      <c r="W55" s="100"/>
      <c r="X55" s="100"/>
      <c r="Y55" s="100"/>
      <c r="Z55" s="100"/>
      <c r="AA55" s="100"/>
      <c r="AB55" s="100"/>
      <c r="AC55" s="100"/>
      <c r="AD55" s="100"/>
      <c r="AE55" s="100"/>
      <c r="AF55" s="100"/>
      <c r="AG55" s="100"/>
      <c r="AH55" s="100"/>
      <c r="AI55" s="100"/>
      <c r="AJ55" s="100"/>
      <c r="AK55" s="100"/>
      <c r="AL55" s="100"/>
      <c r="AM55" s="100"/>
      <c r="AN55" s="100"/>
      <c r="AO55" s="100"/>
      <c r="AP55" s="100" t="s">
        <v>299</v>
      </c>
      <c r="AQ55" s="100"/>
      <c r="AR55" s="100"/>
      <c r="AS55" s="100"/>
      <c r="AT55" s="100"/>
      <c r="AU55" s="100"/>
      <c r="AV55" s="100"/>
      <c r="AW55" s="100"/>
      <c r="AX55" s="100"/>
      <c r="AY55" s="100"/>
      <c r="AZ55" s="100"/>
      <c r="BA55" s="100"/>
      <c r="BB55" s="107"/>
      <c r="BC55" s="102">
        <f>IF((SUMPRODUCT(--(V55:AV55&lt;&gt;""))=0),"0",(VLOOKUP((MATCH("X",$V55:$AV55,0)), Lists!$E$13:$G$39,3)))</f>
        <v>175</v>
      </c>
      <c r="BD55" s="103">
        <f t="shared" si="0"/>
        <v>9975</v>
      </c>
      <c r="BE55" s="103" t="str">
        <f t="shared" si="1"/>
        <v>-</v>
      </c>
      <c r="BF55" s="82"/>
      <c r="BG55" s="98" t="s">
        <v>15</v>
      </c>
      <c r="BH55" s="98" t="s">
        <v>15</v>
      </c>
      <c r="BI55" s="104">
        <f>IF(ISBLANK($BG55),"-",(IF(BD55="-","-",BD55*(Lists!$K$10/100))))</f>
        <v>1496.25</v>
      </c>
      <c r="BJ55" s="104">
        <f>IF(ISBLANK($BH55),"-",(IF(BD55="-","-",BD55*(Lists!$K$11/100))))</f>
        <v>997.5</v>
      </c>
      <c r="BK55" s="104" t="str">
        <f>IF(ISBLANK($BG55),"-",(IF(BE55="-","-",BE55*(Lists!$K$10/100))))</f>
        <v>-</v>
      </c>
      <c r="BL55" s="104" t="str">
        <f>IF(ISBLANK($BH55),"-",(IF(BE55="-","-",BE55*(Lists!$K$11/100))))</f>
        <v>-</v>
      </c>
      <c r="BM55" s="98"/>
      <c r="BN55" s="98" t="s">
        <v>15</v>
      </c>
      <c r="BO55" s="104" t="str">
        <f>IF(ISBLANK(BM55),"-",((Lists!$K$19/100)*(IF(BD55&lt;&gt;"-",BD55,BE55))))</f>
        <v>-</v>
      </c>
      <c r="BP55" s="104">
        <f>IF(ISBLANK(BN55),"-",((Lists!$K$20/100)*(IF(BD55&lt;&gt;"-",BD55,BE55))))</f>
        <v>498.75</v>
      </c>
    </row>
    <row r="56" spans="1:68" ht="54" customHeight="1" x14ac:dyDescent="0.25">
      <c r="A56" s="139" t="s">
        <v>89</v>
      </c>
      <c r="B56" s="130"/>
      <c r="C56" s="307" t="s">
        <v>31</v>
      </c>
      <c r="D56" s="307" t="s">
        <v>32</v>
      </c>
      <c r="E56" s="150" t="s">
        <v>110</v>
      </c>
      <c r="F56" s="307" t="s">
        <v>110</v>
      </c>
      <c r="G56" s="97">
        <v>1</v>
      </c>
      <c r="H56" s="97" t="s">
        <v>294</v>
      </c>
      <c r="I56" s="128"/>
      <c r="J56" s="96" t="s">
        <v>657</v>
      </c>
      <c r="K56" s="330" t="s">
        <v>646</v>
      </c>
      <c r="L56" s="307">
        <v>30</v>
      </c>
      <c r="M56" s="320"/>
      <c r="N56" s="320" t="s">
        <v>15</v>
      </c>
      <c r="O56" s="320"/>
      <c r="P56" s="320"/>
      <c r="Q56" s="348" t="s">
        <v>15</v>
      </c>
      <c r="R56" s="340"/>
      <c r="S56" s="320"/>
      <c r="T56" s="320"/>
      <c r="U56" s="330" t="s">
        <v>487</v>
      </c>
      <c r="V56" s="100"/>
      <c r="W56" s="100"/>
      <c r="X56" s="100"/>
      <c r="Y56" s="100"/>
      <c r="Z56" s="100"/>
      <c r="AA56" s="100"/>
      <c r="AB56" s="100"/>
      <c r="AC56" s="100"/>
      <c r="AD56" s="100"/>
      <c r="AE56" s="100"/>
      <c r="AF56" s="100"/>
      <c r="AG56" s="100"/>
      <c r="AH56" s="100"/>
      <c r="AI56" s="100"/>
      <c r="AJ56" s="100"/>
      <c r="AK56" s="100" t="s">
        <v>299</v>
      </c>
      <c r="AL56" s="100"/>
      <c r="AM56" s="100"/>
      <c r="AN56" s="100"/>
      <c r="AO56" s="100"/>
      <c r="AP56" s="100"/>
      <c r="AQ56" s="100"/>
      <c r="AR56" s="100"/>
      <c r="AS56" s="100"/>
      <c r="AT56" s="100"/>
      <c r="AU56" s="100"/>
      <c r="AV56" s="100"/>
      <c r="AW56" s="100"/>
      <c r="AX56" s="100"/>
      <c r="AY56" s="100"/>
      <c r="AZ56" s="100"/>
      <c r="BA56" s="100"/>
      <c r="BB56" s="107"/>
      <c r="BC56" s="102">
        <f>IF((SUMPRODUCT(--(V56:AV56&lt;&gt;""))=0),"0",(VLOOKUP((MATCH("X",$V56:$AV56,0)), Lists!$E$13:$G$39,3)))</f>
        <v>18750</v>
      </c>
      <c r="BD56" s="103">
        <f t="shared" si="0"/>
        <v>18750</v>
      </c>
      <c r="BE56" s="103" t="str">
        <f t="shared" si="1"/>
        <v>-</v>
      </c>
      <c r="BF56" s="82"/>
      <c r="BG56" s="98" t="s">
        <v>15</v>
      </c>
      <c r="BH56" s="98"/>
      <c r="BI56" s="104">
        <f>IF(ISBLANK($BG56),"-",(IF(BD56="-","-",BD56*(Lists!$K$10/100))))</f>
        <v>2812.5</v>
      </c>
      <c r="BJ56" s="104" t="str">
        <f>IF(ISBLANK($BH56),"-",(IF(BD56="-","-",BD56*(Lists!$K$11/100))))</f>
        <v>-</v>
      </c>
      <c r="BK56" s="104" t="str">
        <f>IF(ISBLANK($BG56),"-",(IF(BE56="-","-",BE56*(Lists!$K$10/100))))</f>
        <v>-</v>
      </c>
      <c r="BL56" s="104" t="str">
        <f>IF(ISBLANK($BH56),"-",(IF(BE56="-","-",BE56*(Lists!$K$11/100))))</f>
        <v>-</v>
      </c>
      <c r="BM56" s="98"/>
      <c r="BN56" s="98"/>
      <c r="BO56" s="104" t="str">
        <f>IF(ISBLANK(BM56),"-",((Lists!$K$19/100)*(IF(BD56&lt;&gt;"-",BD56,BE56))))</f>
        <v>-</v>
      </c>
      <c r="BP56" s="104" t="str">
        <f>IF(ISBLANK(BN56),"-",((Lists!$K$20/100)*(IF(BD56&lt;&gt;"-",BD56,BE56))))</f>
        <v>-</v>
      </c>
    </row>
    <row r="57" spans="1:68" ht="28.5" customHeight="1" x14ac:dyDescent="0.25">
      <c r="A57" s="130" t="s">
        <v>89</v>
      </c>
      <c r="B57" s="131"/>
      <c r="C57" s="308"/>
      <c r="D57" s="308"/>
      <c r="E57" s="159" t="s">
        <v>110</v>
      </c>
      <c r="F57" s="308"/>
      <c r="G57" s="97">
        <v>1</v>
      </c>
      <c r="H57" s="97" t="s">
        <v>294</v>
      </c>
      <c r="I57" s="128"/>
      <c r="J57" s="96" t="s">
        <v>327</v>
      </c>
      <c r="K57" s="331"/>
      <c r="L57" s="308"/>
      <c r="M57" s="327"/>
      <c r="N57" s="327"/>
      <c r="O57" s="327"/>
      <c r="P57" s="327"/>
      <c r="Q57" s="349"/>
      <c r="R57" s="341"/>
      <c r="S57" s="327"/>
      <c r="T57" s="327"/>
      <c r="U57" s="331"/>
      <c r="V57" s="100"/>
      <c r="W57" s="100"/>
      <c r="X57" s="100"/>
      <c r="Y57" s="100"/>
      <c r="Z57" s="100"/>
      <c r="AA57" s="100"/>
      <c r="AB57" s="100"/>
      <c r="AC57" s="100"/>
      <c r="AD57" s="100"/>
      <c r="AE57" s="100"/>
      <c r="AF57" s="100"/>
      <c r="AG57" s="100"/>
      <c r="AH57" s="100"/>
      <c r="AI57" s="100"/>
      <c r="AJ57" s="100"/>
      <c r="AK57" s="100" t="s">
        <v>299</v>
      </c>
      <c r="AL57" s="100"/>
      <c r="AM57" s="100"/>
      <c r="AN57" s="100"/>
      <c r="AO57" s="100"/>
      <c r="AP57" s="100"/>
      <c r="AQ57" s="100"/>
      <c r="AR57" s="100"/>
      <c r="AS57" s="100"/>
      <c r="AT57" s="100"/>
      <c r="AU57" s="100"/>
      <c r="AV57" s="100"/>
      <c r="AW57" s="100"/>
      <c r="AX57" s="100"/>
      <c r="AY57" s="100"/>
      <c r="AZ57" s="100"/>
      <c r="BA57" s="100"/>
      <c r="BB57" s="107"/>
      <c r="BC57" s="102">
        <f>IF((SUMPRODUCT(--(V57:AV57&lt;&gt;""))=0),"0",(VLOOKUP((MATCH("X",$V57:$AV57,0)), Lists!$E$13:$G$39,3)))</f>
        <v>18750</v>
      </c>
      <c r="BD57" s="103">
        <f t="shared" si="0"/>
        <v>18750</v>
      </c>
      <c r="BE57" s="103" t="str">
        <f t="shared" si="1"/>
        <v>-</v>
      </c>
      <c r="BF57" s="82"/>
      <c r="BG57" s="98" t="s">
        <v>15</v>
      </c>
      <c r="BH57" s="98"/>
      <c r="BI57" s="104">
        <f>IF(ISBLANK($BG57),"-",(IF(BD57="-","-",BD57*(Lists!$K$10/100))))</f>
        <v>2812.5</v>
      </c>
      <c r="BJ57" s="104" t="str">
        <f>IF(ISBLANK($BH57),"-",(IF(BD57="-","-",BD57*(Lists!$K$11/100))))</f>
        <v>-</v>
      </c>
      <c r="BK57" s="104" t="str">
        <f>IF(ISBLANK($BG57),"-",(IF(BE57="-","-",BE57*(Lists!$K$10/100))))</f>
        <v>-</v>
      </c>
      <c r="BL57" s="104" t="str">
        <f>IF(ISBLANK($BH57),"-",(IF(BE57="-","-",BE57*(Lists!$K$11/100))))</f>
        <v>-</v>
      </c>
      <c r="BM57" s="129"/>
      <c r="BN57" s="129"/>
      <c r="BO57" s="104" t="str">
        <f>IF(ISBLANK(BM57),"-",((Lists!$K$19/100)*(IF(BD57&lt;&gt;"-",BD57,BE57))))</f>
        <v>-</v>
      </c>
      <c r="BP57" s="104" t="str">
        <f>IF(ISBLANK(BN57),"-",((Lists!$K$20/100)*(IF(BD57&lt;&gt;"-",BD57,BE57))))</f>
        <v>-</v>
      </c>
    </row>
    <row r="58" spans="1:68" x14ac:dyDescent="0.25">
      <c r="A58" s="105" t="s">
        <v>89</v>
      </c>
      <c r="B58" s="128"/>
      <c r="C58" s="97" t="s">
        <v>32</v>
      </c>
      <c r="D58" s="97" t="s">
        <v>130</v>
      </c>
      <c r="E58" s="97">
        <v>75</v>
      </c>
      <c r="F58" s="97" t="s">
        <v>110</v>
      </c>
      <c r="G58" s="97">
        <v>75</v>
      </c>
      <c r="H58" s="97" t="s">
        <v>295</v>
      </c>
      <c r="I58" s="128"/>
      <c r="J58" s="96" t="s">
        <v>133</v>
      </c>
      <c r="K58" s="96" t="s">
        <v>339</v>
      </c>
      <c r="L58" s="97"/>
      <c r="M58" s="98"/>
      <c r="N58" s="129"/>
      <c r="O58" s="129"/>
      <c r="P58" s="129"/>
      <c r="Q58" s="129"/>
      <c r="R58" s="129"/>
      <c r="S58" s="129"/>
      <c r="T58" s="98"/>
      <c r="U58" s="96" t="s">
        <v>289</v>
      </c>
      <c r="V58" s="100"/>
      <c r="W58" s="100"/>
      <c r="X58" s="100"/>
      <c r="Y58" s="100"/>
      <c r="Z58" s="100"/>
      <c r="AA58" s="100"/>
      <c r="AB58" s="100"/>
      <c r="AC58" s="100"/>
      <c r="AD58" s="100"/>
      <c r="AE58" s="100"/>
      <c r="AF58" s="100"/>
      <c r="AG58" s="100"/>
      <c r="AH58" s="100"/>
      <c r="AI58" s="100" t="s">
        <v>299</v>
      </c>
      <c r="AJ58" s="100"/>
      <c r="AK58" s="100"/>
      <c r="AL58" s="100"/>
      <c r="AM58" s="100"/>
      <c r="AN58" s="100"/>
      <c r="AO58" s="100"/>
      <c r="AP58" s="100"/>
      <c r="AQ58" s="100"/>
      <c r="AR58" s="100"/>
      <c r="AS58" s="100"/>
      <c r="AT58" s="100"/>
      <c r="AU58" s="100"/>
      <c r="AV58" s="100"/>
      <c r="AW58" s="100"/>
      <c r="AX58" s="100"/>
      <c r="AY58" s="100"/>
      <c r="AZ58" s="100"/>
      <c r="BA58" s="100"/>
      <c r="BB58" s="107"/>
      <c r="BC58" s="102">
        <f>IF((SUMPRODUCT(--(V58:AV58&lt;&gt;""))=0),"0",(VLOOKUP((MATCH("X",$V58:$AV58,0)), Lists!$E$13:$G$39,3)))</f>
        <v>65</v>
      </c>
      <c r="BD58" s="103">
        <f t="shared" si="0"/>
        <v>4875</v>
      </c>
      <c r="BE58" s="103" t="str">
        <f t="shared" si="1"/>
        <v>-</v>
      </c>
      <c r="BF58" s="82"/>
      <c r="BG58" s="98" t="s">
        <v>15</v>
      </c>
      <c r="BH58" s="98" t="s">
        <v>15</v>
      </c>
      <c r="BI58" s="104">
        <f>IF(ISBLANK($BG58),"-",(IF(BD58="-","-",BD58*(Lists!$K$10/100))))</f>
        <v>731.25</v>
      </c>
      <c r="BJ58" s="104">
        <f>IF(ISBLANK($BH58),"-",(IF(BD58="-","-",BD58*(Lists!$K$11/100))))</f>
        <v>487.5</v>
      </c>
      <c r="BK58" s="104" t="str">
        <f>IF(ISBLANK($BG58),"-",(IF(BE58="-","-",BE58*(Lists!$K$10/100))))</f>
        <v>-</v>
      </c>
      <c r="BL58" s="104" t="str">
        <f>IF(ISBLANK($BH58),"-",(IF(BE58="-","-",BE58*(Lists!$K$11/100))))</f>
        <v>-</v>
      </c>
      <c r="BM58" s="98"/>
      <c r="BN58" s="98" t="s">
        <v>15</v>
      </c>
      <c r="BO58" s="104" t="str">
        <f>IF(ISBLANK(BM58),"-",((Lists!$K$19/100)*(IF(BD58&lt;&gt;"-",BD58,BE58))))</f>
        <v>-</v>
      </c>
      <c r="BP58" s="104">
        <f>IF(ISBLANK(BN58),"-",((Lists!$K$20/100)*(IF(BD58&lt;&gt;"-",BD58,BE58))))</f>
        <v>243.75</v>
      </c>
    </row>
    <row r="59" spans="1:68" x14ac:dyDescent="0.25">
      <c r="A59" s="105" t="s">
        <v>89</v>
      </c>
      <c r="B59" s="128"/>
      <c r="C59" s="307" t="s">
        <v>131</v>
      </c>
      <c r="D59" s="307" t="s">
        <v>33</v>
      </c>
      <c r="E59" s="150">
        <v>280</v>
      </c>
      <c r="F59" s="307" t="s">
        <v>110</v>
      </c>
      <c r="G59" s="97">
        <v>280</v>
      </c>
      <c r="H59" s="97" t="s">
        <v>295</v>
      </c>
      <c r="I59" s="128"/>
      <c r="J59" s="96" t="s">
        <v>132</v>
      </c>
      <c r="K59" s="330" t="s">
        <v>339</v>
      </c>
      <c r="L59" s="307"/>
      <c r="M59" s="320"/>
      <c r="N59" s="320" t="s">
        <v>15</v>
      </c>
      <c r="O59" s="320"/>
      <c r="P59" s="320"/>
      <c r="Q59" s="320"/>
      <c r="R59" s="320"/>
      <c r="S59" s="320"/>
      <c r="T59" s="320"/>
      <c r="U59" s="330" t="s">
        <v>609</v>
      </c>
      <c r="V59" s="100"/>
      <c r="W59" s="100"/>
      <c r="X59" s="100"/>
      <c r="Y59" s="100"/>
      <c r="Z59" s="100"/>
      <c r="AA59" s="100" t="s">
        <v>299</v>
      </c>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7"/>
      <c r="BC59" s="102">
        <f>IF((SUMPRODUCT(--(V59:AV59&lt;&gt;""))=0),"0",(VLOOKUP((MATCH("X",$V59:$AV59,0)), Lists!$E$13:$G$39,3)))</f>
        <v>155</v>
      </c>
      <c r="BD59" s="103">
        <f t="shared" si="0"/>
        <v>43400</v>
      </c>
      <c r="BE59" s="103" t="str">
        <f t="shared" si="1"/>
        <v>-</v>
      </c>
      <c r="BF59" s="82"/>
      <c r="BG59" s="98" t="s">
        <v>15</v>
      </c>
      <c r="BH59" s="98" t="s">
        <v>15</v>
      </c>
      <c r="BI59" s="104">
        <f>IF(ISBLANK($BG59),"-",(IF(BD59="-","-",BD59*(Lists!$K$10/100))))</f>
        <v>6510</v>
      </c>
      <c r="BJ59" s="104">
        <f>IF(ISBLANK($BH59),"-",(IF(BD59="-","-",BD59*(Lists!$K$11/100))))</f>
        <v>4340</v>
      </c>
      <c r="BK59" s="104" t="str">
        <f>IF(ISBLANK($BG59),"-",(IF(BE59="-","-",BE59*(Lists!$K$10/100))))</f>
        <v>-</v>
      </c>
      <c r="BL59" s="104" t="str">
        <f>IF(ISBLANK($BH59),"-",(IF(BE59="-","-",BE59*(Lists!$K$11/100))))</f>
        <v>-</v>
      </c>
      <c r="BM59" s="98"/>
      <c r="BN59" s="98" t="s">
        <v>15</v>
      </c>
      <c r="BO59" s="104" t="str">
        <f>IF(ISBLANK(BM59),"-",((Lists!$K$19/100)*(IF(BD59&lt;&gt;"-",BD59,BE59))))</f>
        <v>-</v>
      </c>
      <c r="BP59" s="104">
        <f>IF(ISBLANK(BN59),"-",((Lists!$K$20/100)*(IF(BD59&lt;&gt;"-",BD59,BE59))))</f>
        <v>2170</v>
      </c>
    </row>
    <row r="60" spans="1:68" x14ac:dyDescent="0.25">
      <c r="A60" s="105" t="s">
        <v>89</v>
      </c>
      <c r="B60" s="128"/>
      <c r="C60" s="308"/>
      <c r="D60" s="308"/>
      <c r="E60" s="159" t="s">
        <v>110</v>
      </c>
      <c r="F60" s="308"/>
      <c r="G60" s="97">
        <v>180</v>
      </c>
      <c r="H60" s="97" t="s">
        <v>295</v>
      </c>
      <c r="I60" s="128"/>
      <c r="J60" s="96" t="s">
        <v>622</v>
      </c>
      <c r="K60" s="331"/>
      <c r="L60" s="308"/>
      <c r="M60" s="327"/>
      <c r="N60" s="327"/>
      <c r="O60" s="327"/>
      <c r="P60" s="327"/>
      <c r="Q60" s="327"/>
      <c r="R60" s="327"/>
      <c r="S60" s="327"/>
      <c r="T60" s="327"/>
      <c r="U60" s="331"/>
      <c r="V60" s="100"/>
      <c r="W60" s="100"/>
      <c r="X60" s="100"/>
      <c r="Y60" s="100"/>
      <c r="Z60" s="100"/>
      <c r="AA60" s="100"/>
      <c r="AB60" s="100"/>
      <c r="AC60" s="100"/>
      <c r="AD60" s="100"/>
      <c r="AE60" s="100"/>
      <c r="AF60" s="100"/>
      <c r="AG60" s="100"/>
      <c r="AH60" s="100"/>
      <c r="AI60" s="100"/>
      <c r="AJ60" s="100" t="s">
        <v>299</v>
      </c>
      <c r="AK60" s="100"/>
      <c r="AL60" s="100"/>
      <c r="AM60" s="100"/>
      <c r="AN60" s="100"/>
      <c r="AO60" s="100"/>
      <c r="AP60" s="100"/>
      <c r="AQ60" s="100"/>
      <c r="AR60" s="100"/>
      <c r="AS60" s="100"/>
      <c r="AT60" s="100"/>
      <c r="AU60" s="100"/>
      <c r="AV60" s="100"/>
      <c r="AW60" s="100"/>
      <c r="AX60" s="100"/>
      <c r="AY60" s="100"/>
      <c r="AZ60" s="100"/>
      <c r="BA60" s="100"/>
      <c r="BB60" s="107"/>
      <c r="BC60" s="102">
        <f>IF((SUMPRODUCT(--(V60:AV60&lt;&gt;""))=0),"0",(VLOOKUP((MATCH("X",$V60:$AV60,0)), Lists!$E$13:$G$39,3)))</f>
        <v>36</v>
      </c>
      <c r="BD60" s="103">
        <f t="shared" si="0"/>
        <v>6480</v>
      </c>
      <c r="BE60" s="103" t="str">
        <f t="shared" si="1"/>
        <v>-</v>
      </c>
      <c r="BF60" s="82"/>
      <c r="BG60" s="98" t="s">
        <v>15</v>
      </c>
      <c r="BH60" s="98" t="s">
        <v>15</v>
      </c>
      <c r="BI60" s="104">
        <f>IF(ISBLANK($BG60),"-",(IF(BD60="-","-",BD60*(Lists!$K$10/100))))</f>
        <v>972</v>
      </c>
      <c r="BJ60" s="104">
        <f>IF(ISBLANK($BH60),"-",(IF(BD60="-","-",BD60*(Lists!$K$11/100))))</f>
        <v>648</v>
      </c>
      <c r="BK60" s="104" t="str">
        <f>IF(ISBLANK($BG60),"-",(IF(BE60="-","-",BE60*(Lists!$K$10/100))))</f>
        <v>-</v>
      </c>
      <c r="BL60" s="104" t="str">
        <f>IF(ISBLANK($BH60),"-",(IF(BE60="-","-",BE60*(Lists!$K$11/100))))</f>
        <v>-</v>
      </c>
      <c r="BM60" s="98"/>
      <c r="BN60" s="98" t="s">
        <v>15</v>
      </c>
      <c r="BO60" s="104" t="str">
        <f>IF(ISBLANK(BM60),"-",((Lists!$K$19/100)*(IF(BD60&lt;&gt;"-",BD60,BE60))))</f>
        <v>-</v>
      </c>
      <c r="BP60" s="104">
        <f>IF(ISBLANK(BN60),"-",((Lists!$K$20/100)*(IF(BD60&lt;&gt;"-",BD60,BE60))))</f>
        <v>324</v>
      </c>
    </row>
    <row r="61" spans="1:68" ht="38.25" x14ac:dyDescent="0.25">
      <c r="A61" s="105" t="s">
        <v>89</v>
      </c>
      <c r="B61" s="128"/>
      <c r="C61" s="97" t="s">
        <v>33</v>
      </c>
      <c r="D61" s="97" t="s">
        <v>34</v>
      </c>
      <c r="E61" s="97">
        <v>424</v>
      </c>
      <c r="F61" s="97" t="s">
        <v>110</v>
      </c>
      <c r="G61" s="97">
        <v>10</v>
      </c>
      <c r="H61" s="79" t="s">
        <v>294</v>
      </c>
      <c r="I61" s="128"/>
      <c r="J61" s="96" t="s">
        <v>668</v>
      </c>
      <c r="K61" s="96" t="s">
        <v>334</v>
      </c>
      <c r="L61" s="97">
        <v>30</v>
      </c>
      <c r="M61" s="129"/>
      <c r="N61" s="129" t="s">
        <v>15</v>
      </c>
      <c r="O61" s="129"/>
      <c r="P61" s="129"/>
      <c r="Q61" s="129"/>
      <c r="R61" s="129"/>
      <c r="S61" s="129"/>
      <c r="T61" s="129"/>
      <c r="U61" s="96" t="s">
        <v>488</v>
      </c>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t="s">
        <v>299</v>
      </c>
      <c r="BA61" s="100"/>
      <c r="BB61" s="107">
        <v>5000</v>
      </c>
      <c r="BC61" s="102" t="str">
        <f>IF((SUMPRODUCT(--(V61:AV61&lt;&gt;""))=0),"0",(VLOOKUP((MATCH("X",$V61:$AV61,0)), Lists!$E$13:$G$39,3)))</f>
        <v>0</v>
      </c>
      <c r="BD61" s="103">
        <f t="shared" si="0"/>
        <v>50000</v>
      </c>
      <c r="BE61" s="103" t="str">
        <f t="shared" si="1"/>
        <v>-</v>
      </c>
      <c r="BF61" s="82"/>
      <c r="BG61" s="98"/>
      <c r="BH61" s="98"/>
      <c r="BI61" s="104" t="str">
        <f>IF(ISBLANK($BG61),"-",(IF(BD61="-","-",BD61*(Lists!$K$10/100))))</f>
        <v>-</v>
      </c>
      <c r="BJ61" s="104" t="str">
        <f>IF(ISBLANK($BH61),"-",(IF(BD61="-","-",BD61*(Lists!$K$11/100))))</f>
        <v>-</v>
      </c>
      <c r="BK61" s="104" t="str">
        <f>IF(ISBLANK($BG61),"-",(IF(BE61="-","-",BE61*(Lists!$K$10/100))))</f>
        <v>-</v>
      </c>
      <c r="BL61" s="104" t="str">
        <f>IF(ISBLANK($BH61),"-",(IF(BE61="-","-",BE61*(Lists!$K$11/100))))</f>
        <v>-</v>
      </c>
      <c r="BM61" s="129"/>
      <c r="BN61" s="129"/>
      <c r="BO61" s="104" t="str">
        <f>IF(ISBLANK(BM61),"-",((Lists!$K$19/100)*(IF(BD61&lt;&gt;"-",BD61,BE61))))</f>
        <v>-</v>
      </c>
      <c r="BP61" s="104" t="str">
        <f>IF(ISBLANK(BN61),"-",((Lists!$K$20/100)*(IF(BD61&lt;&gt;"-",BD61,BE61))))</f>
        <v>-</v>
      </c>
    </row>
    <row r="62" spans="1:68" ht="61.5" customHeight="1" x14ac:dyDescent="0.25">
      <c r="A62" s="94" t="s">
        <v>89</v>
      </c>
      <c r="B62" s="82"/>
      <c r="C62" s="79" t="s">
        <v>34</v>
      </c>
      <c r="D62" s="160" t="s">
        <v>34</v>
      </c>
      <c r="E62" s="79" t="s">
        <v>110</v>
      </c>
      <c r="F62" s="79" t="s">
        <v>110</v>
      </c>
      <c r="G62" s="79">
        <v>1</v>
      </c>
      <c r="H62" s="79" t="s">
        <v>294</v>
      </c>
      <c r="I62" s="82"/>
      <c r="J62" s="161" t="s">
        <v>142</v>
      </c>
      <c r="K62" s="96" t="s">
        <v>334</v>
      </c>
      <c r="L62" s="97">
        <v>30</v>
      </c>
      <c r="M62" s="129"/>
      <c r="N62" s="129"/>
      <c r="O62" s="129" t="s">
        <v>15</v>
      </c>
      <c r="P62" s="129"/>
      <c r="Q62" s="129"/>
      <c r="R62" s="129"/>
      <c r="S62" s="129"/>
      <c r="T62" s="129"/>
      <c r="U62" s="96" t="s">
        <v>703</v>
      </c>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t="s">
        <v>299</v>
      </c>
      <c r="AZ62" s="100"/>
      <c r="BA62" s="100"/>
      <c r="BB62" s="134">
        <v>100000</v>
      </c>
      <c r="BC62" s="102" t="str">
        <f>IF((SUMPRODUCT(--(V62:AV62&lt;&gt;""))=0),"0",(VLOOKUP((MATCH("X",$V62:$AV62,0)), Lists!$E$13:$G$39,3)))</f>
        <v>0</v>
      </c>
      <c r="BD62" s="103">
        <f t="shared" si="0"/>
        <v>100000</v>
      </c>
      <c r="BE62" s="103" t="str">
        <f t="shared" si="1"/>
        <v>-</v>
      </c>
      <c r="BF62" s="82" t="s">
        <v>551</v>
      </c>
      <c r="BG62" s="98"/>
      <c r="BH62" s="98"/>
      <c r="BI62" s="104" t="str">
        <f>IF(ISBLANK($BG62),"-",(IF(BD62="-","-",BD62*(Lists!$K$10/100))))</f>
        <v>-</v>
      </c>
      <c r="BJ62" s="104" t="str">
        <f>IF(ISBLANK($BH62),"-",(IF(BD62="-","-",BD62*(Lists!$K$11/100))))</f>
        <v>-</v>
      </c>
      <c r="BK62" s="104" t="str">
        <f>IF(ISBLANK($BG62),"-",(IF(BE62="-","-",BE62*(Lists!$K$10/100))))</f>
        <v>-</v>
      </c>
      <c r="BL62" s="104" t="str">
        <f>IF(ISBLANK($BH62),"-",(IF(BE62="-","-",BE62*(Lists!$K$11/100))))</f>
        <v>-</v>
      </c>
      <c r="BM62" s="129"/>
      <c r="BN62" s="129"/>
      <c r="BO62" s="104" t="str">
        <f>IF(ISBLANK(BM62),"-",((Lists!$K$19/100)*(IF(BD62&lt;&gt;"-",BD62,BE62))))</f>
        <v>-</v>
      </c>
      <c r="BP62" s="104" t="str">
        <f>IF(ISBLANK(BN62),"-",((Lists!$K$20/100)*(IF(BD62&lt;&gt;"-",BD62,BE62))))</f>
        <v>-</v>
      </c>
    </row>
    <row r="63" spans="1:68" ht="38.25" x14ac:dyDescent="0.25">
      <c r="A63" s="94" t="s">
        <v>89</v>
      </c>
      <c r="B63" s="82"/>
      <c r="C63" s="79" t="s">
        <v>34</v>
      </c>
      <c r="D63" s="160" t="s">
        <v>120</v>
      </c>
      <c r="E63" s="79">
        <v>150</v>
      </c>
      <c r="F63" s="79" t="s">
        <v>110</v>
      </c>
      <c r="G63" s="79">
        <v>150</v>
      </c>
      <c r="H63" s="79" t="s">
        <v>295</v>
      </c>
      <c r="I63" s="82"/>
      <c r="J63" s="161" t="s">
        <v>351</v>
      </c>
      <c r="K63" s="96" t="s">
        <v>334</v>
      </c>
      <c r="L63" s="97">
        <v>30</v>
      </c>
      <c r="M63" s="129"/>
      <c r="N63" s="98" t="s">
        <v>15</v>
      </c>
      <c r="O63" s="98" t="s">
        <v>15</v>
      </c>
      <c r="P63" s="129"/>
      <c r="Q63" s="129"/>
      <c r="R63" s="129"/>
      <c r="S63" s="129"/>
      <c r="T63" s="129"/>
      <c r="U63" s="96" t="s">
        <v>385</v>
      </c>
      <c r="V63" s="100"/>
      <c r="W63" s="100"/>
      <c r="X63" s="100"/>
      <c r="Y63" s="100"/>
      <c r="Z63" s="100"/>
      <c r="AA63" s="100"/>
      <c r="AB63" s="100"/>
      <c r="AC63" s="100"/>
      <c r="AD63" s="100"/>
      <c r="AE63" s="100"/>
      <c r="AF63" s="100" t="s">
        <v>299</v>
      </c>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7"/>
      <c r="BC63" s="102">
        <f>IF((SUMPRODUCT(--(V63:AV63&lt;&gt;""))=0),"0",(VLOOKUP((MATCH("X",$V63:$AV63,0)), Lists!$E$13:$G$39,3)))</f>
        <v>355</v>
      </c>
      <c r="BD63" s="103">
        <f t="shared" si="0"/>
        <v>53250</v>
      </c>
      <c r="BE63" s="103" t="str">
        <f t="shared" si="1"/>
        <v>-</v>
      </c>
      <c r="BF63" s="82"/>
      <c r="BG63" s="98"/>
      <c r="BH63" s="98"/>
      <c r="BI63" s="104" t="str">
        <f>IF(ISBLANK($BG63),"-",(IF(BD63="-","-",BD63*(Lists!$K$10/100))))</f>
        <v>-</v>
      </c>
      <c r="BJ63" s="104" t="str">
        <f>IF(ISBLANK($BH63),"-",(IF(BD63="-","-",BD63*(Lists!$K$11/100))))</f>
        <v>-</v>
      </c>
      <c r="BK63" s="104" t="str">
        <f>IF(ISBLANK($BG63),"-",(IF(BE63="-","-",BE63*(Lists!$K$10/100))))</f>
        <v>-</v>
      </c>
      <c r="BL63" s="104" t="str">
        <f>IF(ISBLANK($BH63),"-",(IF(BE63="-","-",BE63*(Lists!$K$11/100))))</f>
        <v>-</v>
      </c>
      <c r="BM63" s="129"/>
      <c r="BN63" s="129"/>
      <c r="BO63" s="104" t="str">
        <f>IF(ISBLANK(BM63),"-",((Lists!$K$19/100)*(IF(BD63&lt;&gt;"-",BD63,BE63))))</f>
        <v>-</v>
      </c>
      <c r="BP63" s="104" t="str">
        <f>IF(ISBLANK(BN63),"-",((Lists!$K$20/100)*(IF(BD63&lt;&gt;"-",BD63,BE63))))</f>
        <v>-</v>
      </c>
    </row>
    <row r="64" spans="1:68" ht="63.75" x14ac:dyDescent="0.25">
      <c r="A64" s="94" t="s">
        <v>89</v>
      </c>
      <c r="B64" s="82"/>
      <c r="C64" s="79" t="s">
        <v>120</v>
      </c>
      <c r="D64" s="160" t="s">
        <v>120</v>
      </c>
      <c r="E64" s="79" t="s">
        <v>110</v>
      </c>
      <c r="F64" s="79" t="s">
        <v>110</v>
      </c>
      <c r="G64" s="79">
        <v>1</v>
      </c>
      <c r="H64" s="79" t="s">
        <v>294</v>
      </c>
      <c r="I64" s="82"/>
      <c r="J64" s="161" t="s">
        <v>122</v>
      </c>
      <c r="K64" s="96" t="s">
        <v>334</v>
      </c>
      <c r="L64" s="97">
        <v>30</v>
      </c>
      <c r="M64" s="129"/>
      <c r="N64" s="129"/>
      <c r="O64" s="129"/>
      <c r="P64" s="129"/>
      <c r="Q64" s="129"/>
      <c r="R64" s="129"/>
      <c r="S64" s="129"/>
      <c r="T64" s="129"/>
      <c r="U64" s="96" t="s">
        <v>352</v>
      </c>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t="s">
        <v>299</v>
      </c>
      <c r="AZ64" s="100"/>
      <c r="BA64" s="100"/>
      <c r="BB64" s="134">
        <v>125000</v>
      </c>
      <c r="BC64" s="102" t="str">
        <f>IF((SUMPRODUCT(--(V64:AV64&lt;&gt;""))=0),"0",(VLOOKUP((MATCH("X",$V64:$AV64,0)), Lists!$E$13:$G$39,3)))</f>
        <v>0</v>
      </c>
      <c r="BD64" s="103">
        <f t="shared" si="0"/>
        <v>125000</v>
      </c>
      <c r="BE64" s="103" t="str">
        <f t="shared" si="1"/>
        <v>-</v>
      </c>
      <c r="BF64" s="82" t="s">
        <v>472</v>
      </c>
      <c r="BG64" s="98"/>
      <c r="BH64" s="98"/>
      <c r="BI64" s="104" t="str">
        <f>IF(ISBLANK($BG64),"-",(IF(BD64="-","-",BD64*(Lists!$K$10/100))))</f>
        <v>-</v>
      </c>
      <c r="BJ64" s="104" t="str">
        <f>IF(ISBLANK($BH64),"-",(IF(BD64="-","-",BD64*(Lists!$K$11/100))))</f>
        <v>-</v>
      </c>
      <c r="BK64" s="104" t="str">
        <f>IF(ISBLANK($BG64),"-",(IF(BE64="-","-",BE64*(Lists!$K$10/100))))</f>
        <v>-</v>
      </c>
      <c r="BL64" s="104" t="str">
        <f>IF(ISBLANK($BH64),"-",(IF(BE64="-","-",BE64*(Lists!$K$11/100))))</f>
        <v>-</v>
      </c>
      <c r="BM64" s="129"/>
      <c r="BN64" s="129"/>
      <c r="BO64" s="104" t="str">
        <f>IF(ISBLANK(BM64),"-",((Lists!$K$19/100)*(IF(BD64&lt;&gt;"-",BD64,BE64))))</f>
        <v>-</v>
      </c>
      <c r="BP64" s="104" t="str">
        <f>IF(ISBLANK(BN64),"-",((Lists!$K$20/100)*(IF(BD64&lt;&gt;"-",BD64,BE64))))</f>
        <v>-</v>
      </c>
    </row>
    <row r="65" spans="1:68" ht="38.25" x14ac:dyDescent="0.25">
      <c r="A65" s="94" t="s">
        <v>89</v>
      </c>
      <c r="B65" s="82"/>
      <c r="C65" s="79" t="s">
        <v>120</v>
      </c>
      <c r="D65" s="160" t="s">
        <v>35</v>
      </c>
      <c r="E65" s="79">
        <v>81</v>
      </c>
      <c r="F65" s="79" t="s">
        <v>110</v>
      </c>
      <c r="G65" s="79">
        <v>81</v>
      </c>
      <c r="H65" s="79" t="s">
        <v>295</v>
      </c>
      <c r="I65" s="82"/>
      <c r="J65" s="161" t="s">
        <v>143</v>
      </c>
      <c r="K65" s="96" t="s">
        <v>334</v>
      </c>
      <c r="L65" s="97">
        <v>30</v>
      </c>
      <c r="M65" s="129"/>
      <c r="N65" s="98" t="s">
        <v>15</v>
      </c>
      <c r="O65" s="98" t="s">
        <v>15</v>
      </c>
      <c r="P65" s="129"/>
      <c r="Q65" s="129"/>
      <c r="R65" s="129"/>
      <c r="S65" s="129"/>
      <c r="T65" s="129"/>
      <c r="U65" s="96" t="s">
        <v>385</v>
      </c>
      <c r="V65" s="100"/>
      <c r="W65" s="100"/>
      <c r="X65" s="100"/>
      <c r="Y65" s="100"/>
      <c r="Z65" s="100"/>
      <c r="AA65" s="100"/>
      <c r="AB65" s="100"/>
      <c r="AC65" s="100"/>
      <c r="AD65" s="100"/>
      <c r="AE65" s="100"/>
      <c r="AF65" s="100" t="s">
        <v>299</v>
      </c>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7"/>
      <c r="BC65" s="102">
        <f>IF((SUMPRODUCT(--(V65:AV65&lt;&gt;""))=0),"0",(VLOOKUP((MATCH("X",$V65:$AV65,0)), Lists!$E$13:$G$39,3)))</f>
        <v>355</v>
      </c>
      <c r="BD65" s="103">
        <f t="shared" si="0"/>
        <v>28755</v>
      </c>
      <c r="BE65" s="103" t="str">
        <f t="shared" si="1"/>
        <v>-</v>
      </c>
      <c r="BF65" s="82"/>
      <c r="BG65" s="98"/>
      <c r="BH65" s="98"/>
      <c r="BI65" s="104" t="str">
        <f>IF(ISBLANK($BG65),"-",(IF(BD65="-","-",BD65*(Lists!$K$10/100))))</f>
        <v>-</v>
      </c>
      <c r="BJ65" s="104" t="str">
        <f>IF(ISBLANK($BH65),"-",(IF(BD65="-","-",BD65*(Lists!$K$11/100))))</f>
        <v>-</v>
      </c>
      <c r="BK65" s="104" t="str">
        <f>IF(ISBLANK($BG65),"-",(IF(BE65="-","-",BE65*(Lists!$K$10/100))))</f>
        <v>-</v>
      </c>
      <c r="BL65" s="104" t="str">
        <f>IF(ISBLANK($BH65),"-",(IF(BE65="-","-",BE65*(Lists!$K$11/100))))</f>
        <v>-</v>
      </c>
      <c r="BM65" s="129"/>
      <c r="BN65" s="129"/>
      <c r="BO65" s="104" t="str">
        <f>IF(ISBLANK(BM65),"-",((Lists!$K$19/100)*(IF(BD65&lt;&gt;"-",BD65,BE65))))</f>
        <v>-</v>
      </c>
      <c r="BP65" s="104" t="str">
        <f>IF(ISBLANK(BN65),"-",((Lists!$K$20/100)*(IF(BD65&lt;&gt;"-",BD65,BE65))))</f>
        <v>-</v>
      </c>
    </row>
    <row r="66" spans="1:68" ht="25.5" x14ac:dyDescent="0.25">
      <c r="A66" s="94" t="s">
        <v>89</v>
      </c>
      <c r="B66" s="82"/>
      <c r="C66" s="79" t="s">
        <v>121</v>
      </c>
      <c r="D66" s="160" t="s">
        <v>35</v>
      </c>
      <c r="E66" s="79" t="s">
        <v>110</v>
      </c>
      <c r="F66" s="79" t="s">
        <v>110</v>
      </c>
      <c r="G66" s="79">
        <v>1</v>
      </c>
      <c r="H66" s="79" t="s">
        <v>294</v>
      </c>
      <c r="I66" s="82"/>
      <c r="J66" s="161" t="s">
        <v>123</v>
      </c>
      <c r="K66" s="96" t="s">
        <v>334</v>
      </c>
      <c r="L66" s="97">
        <v>30</v>
      </c>
      <c r="M66" s="129"/>
      <c r="N66" s="129"/>
      <c r="O66" s="129"/>
      <c r="P66" s="129"/>
      <c r="Q66" s="129"/>
      <c r="R66" s="129"/>
      <c r="S66" s="129"/>
      <c r="T66" s="129"/>
      <c r="U66" s="96" t="s">
        <v>353</v>
      </c>
      <c r="V66" s="100"/>
      <c r="W66" s="100" t="s">
        <v>299</v>
      </c>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7"/>
      <c r="BC66" s="102">
        <f>IF((SUMPRODUCT(--(V66:AV66&lt;&gt;""))=0),"0",(VLOOKUP((MATCH("X",$V66:$AV66,0)), Lists!$E$13:$G$39,3)))</f>
        <v>96500</v>
      </c>
      <c r="BD66" s="103">
        <f t="shared" si="0"/>
        <v>96500</v>
      </c>
      <c r="BE66" s="103" t="str">
        <f t="shared" si="1"/>
        <v>-</v>
      </c>
      <c r="BF66" s="82"/>
      <c r="BG66" s="98"/>
      <c r="BH66" s="98"/>
      <c r="BI66" s="104" t="str">
        <f>IF(ISBLANK($BG66),"-",(IF(BD66="-","-",BD66*(Lists!$K$10/100))))</f>
        <v>-</v>
      </c>
      <c r="BJ66" s="104" t="str">
        <f>IF(ISBLANK($BH66),"-",(IF(BD66="-","-",BD66*(Lists!$K$11/100))))</f>
        <v>-</v>
      </c>
      <c r="BK66" s="104" t="str">
        <f>IF(ISBLANK($BG66),"-",(IF(BE66="-","-",BE66*(Lists!$K$10/100))))</f>
        <v>-</v>
      </c>
      <c r="BL66" s="104" t="str">
        <f>IF(ISBLANK($BH66),"-",(IF(BE66="-","-",BE66*(Lists!$K$11/100))))</f>
        <v>-</v>
      </c>
      <c r="BM66" s="129"/>
      <c r="BN66" s="98"/>
      <c r="BO66" s="104" t="str">
        <f>IF(ISBLANK(BM66),"-",((Lists!$K$19/100)*(IF(BD66&lt;&gt;"-",BD66,BE66))))</f>
        <v>-</v>
      </c>
      <c r="BP66" s="104" t="str">
        <f>IF(ISBLANK(BN66),"-",((Lists!$K$20/100)*(IF(BD66&lt;&gt;"-",BD66,BE66))))</f>
        <v>-</v>
      </c>
    </row>
    <row r="67" spans="1:68" s="155" customFormat="1" ht="89.25" x14ac:dyDescent="0.25">
      <c r="A67" s="116" t="s">
        <v>84</v>
      </c>
      <c r="B67" s="154"/>
      <c r="C67" s="162" t="s">
        <v>22</v>
      </c>
      <c r="D67" s="162" t="s">
        <v>37</v>
      </c>
      <c r="E67" s="162">
        <v>3613</v>
      </c>
      <c r="F67" s="162" t="s">
        <v>110</v>
      </c>
      <c r="G67" s="162" t="s">
        <v>110</v>
      </c>
      <c r="H67" s="162" t="s">
        <v>110</v>
      </c>
      <c r="I67" s="154"/>
      <c r="J67" s="163" t="s">
        <v>144</v>
      </c>
      <c r="K67" s="112" t="s">
        <v>334</v>
      </c>
      <c r="L67" s="110">
        <v>20</v>
      </c>
      <c r="M67" s="164"/>
      <c r="N67" s="113" t="s">
        <v>15</v>
      </c>
      <c r="O67" s="113"/>
      <c r="P67" s="164"/>
      <c r="Q67" s="164"/>
      <c r="R67" s="164"/>
      <c r="S67" s="113"/>
      <c r="T67" s="164"/>
      <c r="U67" s="112" t="s">
        <v>99</v>
      </c>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c r="BA67" s="114"/>
      <c r="BB67" s="115"/>
      <c r="BC67" s="102" t="str">
        <f>IF((SUMPRODUCT(--(V67:AV67&lt;&gt;""))=0),"0",(VLOOKUP((MATCH("X",$V67:$AV67,0)), Lists!$E$13:$G$39,3)))</f>
        <v>0</v>
      </c>
      <c r="BD67" s="103" t="str">
        <f t="shared" si="0"/>
        <v>-</v>
      </c>
      <c r="BE67" s="103" t="str">
        <f t="shared" si="1"/>
        <v>-</v>
      </c>
      <c r="BF67" s="154"/>
      <c r="BG67" s="113"/>
      <c r="BH67" s="113"/>
      <c r="BI67" s="117" t="str">
        <f>IF(ISBLANK($BG67),"-",(IF(BD67="-","-",BD67*(Lists!$K$10/100))))</f>
        <v>-</v>
      </c>
      <c r="BJ67" s="117" t="str">
        <f>IF(ISBLANK($BH67),"-",(IF(BD67="-","-",BD67*(Lists!$K$11/100))))</f>
        <v>-</v>
      </c>
      <c r="BK67" s="117" t="str">
        <f>IF(ISBLANK($BG67),"-",(IF(BE67="-","-",BE67*(Lists!$K$10/100))))</f>
        <v>-</v>
      </c>
      <c r="BL67" s="117" t="str">
        <f>IF(ISBLANK($BH67),"-",(IF(BE67="-","-",BE67*(Lists!$K$11/100))))</f>
        <v>-</v>
      </c>
      <c r="BM67" s="164"/>
      <c r="BN67" s="164"/>
      <c r="BO67" s="117" t="str">
        <f>IF(ISBLANK(BM67),"-",((Lists!$K$19/100)*(IF(BD67&lt;&gt;"-",BD67,BE67))))</f>
        <v>-</v>
      </c>
      <c r="BP67" s="117" t="str">
        <f>IF(ISBLANK(BN67),"-",((Lists!$K$20/100)*(IF(BD67&lt;&gt;"-",BD67,BE67))))</f>
        <v>-</v>
      </c>
    </row>
    <row r="68" spans="1:68" ht="75.75" customHeight="1" x14ac:dyDescent="0.25">
      <c r="A68" s="94" t="s">
        <v>84</v>
      </c>
      <c r="B68" s="82"/>
      <c r="C68" s="79" t="s">
        <v>37</v>
      </c>
      <c r="D68" s="160" t="s">
        <v>145</v>
      </c>
      <c r="E68" s="79">
        <v>371</v>
      </c>
      <c r="F68" s="79" t="s">
        <v>110</v>
      </c>
      <c r="G68" s="79">
        <v>8</v>
      </c>
      <c r="H68" s="79" t="s">
        <v>294</v>
      </c>
      <c r="I68" s="82"/>
      <c r="J68" s="161" t="s">
        <v>658</v>
      </c>
      <c r="K68" s="96" t="s">
        <v>334</v>
      </c>
      <c r="L68" s="97">
        <v>20</v>
      </c>
      <c r="M68" s="129"/>
      <c r="N68" s="129"/>
      <c r="O68" s="129"/>
      <c r="P68" s="129"/>
      <c r="Q68" s="129"/>
      <c r="R68" s="129"/>
      <c r="S68" s="129"/>
      <c r="T68" s="129"/>
      <c r="U68" s="96"/>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t="s">
        <v>299</v>
      </c>
      <c r="AZ68" s="100"/>
      <c r="BA68" s="100"/>
      <c r="BB68" s="107">
        <v>8000</v>
      </c>
      <c r="BC68" s="102" t="str">
        <f>IF((SUMPRODUCT(--(V68:AV68&lt;&gt;""))=0),"0",(VLOOKUP((MATCH("X",$V68:$AV68,0)), Lists!$E$13:$G$39,3)))</f>
        <v>0</v>
      </c>
      <c r="BD68" s="103">
        <f t="shared" si="0"/>
        <v>64000</v>
      </c>
      <c r="BE68" s="103" t="str">
        <f t="shared" si="1"/>
        <v>-</v>
      </c>
      <c r="BF68" s="82"/>
      <c r="BG68" s="98"/>
      <c r="BH68" s="98"/>
      <c r="BI68" s="104" t="str">
        <f>IF(ISBLANK($BG68),"-",(IF(BD68="-","-",BD68*(Lists!$K$10/100))))</f>
        <v>-</v>
      </c>
      <c r="BJ68" s="104" t="str">
        <f>IF(ISBLANK($BH68),"-",(IF(BD68="-","-",BD68*(Lists!$K$11/100))))</f>
        <v>-</v>
      </c>
      <c r="BK68" s="104" t="str">
        <f>IF(ISBLANK($BG68),"-",(IF(BE68="-","-",BE68*(Lists!$K$10/100))))</f>
        <v>-</v>
      </c>
      <c r="BL68" s="104" t="str">
        <f>IF(ISBLANK($BH68),"-",(IF(BE68="-","-",BE68*(Lists!$K$11/100))))</f>
        <v>-</v>
      </c>
      <c r="BM68" s="129"/>
      <c r="BN68" s="129"/>
      <c r="BO68" s="104" t="str">
        <f>IF(ISBLANK(BM68),"-",((Lists!$K$19/100)*(IF(BD68&lt;&gt;"-",BD68,BE68))))</f>
        <v>-</v>
      </c>
      <c r="BP68" s="104" t="str">
        <f>IF(ISBLANK(BN68),"-",((Lists!$K$20/100)*(IF(BD68&lt;&gt;"-",BD68,BE68))))</f>
        <v>-</v>
      </c>
    </row>
    <row r="69" spans="1:68" s="157" customFormat="1" ht="51" x14ac:dyDescent="0.25">
      <c r="A69" s="94" t="s">
        <v>84</v>
      </c>
      <c r="B69" s="82"/>
      <c r="C69" s="79" t="s">
        <v>118</v>
      </c>
      <c r="D69" s="160" t="s">
        <v>145</v>
      </c>
      <c r="E69" s="79" t="s">
        <v>110</v>
      </c>
      <c r="F69" s="79" t="s">
        <v>110</v>
      </c>
      <c r="G69" s="79">
        <v>1</v>
      </c>
      <c r="H69" s="79" t="s">
        <v>294</v>
      </c>
      <c r="I69" s="82"/>
      <c r="J69" s="161" t="s">
        <v>146</v>
      </c>
      <c r="K69" s="96" t="s">
        <v>334</v>
      </c>
      <c r="L69" s="97">
        <v>30</v>
      </c>
      <c r="M69" s="129"/>
      <c r="N69" s="129"/>
      <c r="O69" s="129"/>
      <c r="P69" s="129"/>
      <c r="Q69" s="129"/>
      <c r="R69" s="129"/>
      <c r="S69" s="129"/>
      <c r="T69" s="129"/>
      <c r="U69" s="96"/>
      <c r="V69" s="100"/>
      <c r="W69" s="100" t="s">
        <v>299</v>
      </c>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7"/>
      <c r="BC69" s="102">
        <f>IF((SUMPRODUCT(--(V69:AV69&lt;&gt;""))=0),"0",(VLOOKUP((MATCH("X",$V69:$AV69,0)), Lists!$E$13:$G$39,3)))</f>
        <v>96500</v>
      </c>
      <c r="BD69" s="103">
        <f t="shared" ref="BD69:BD132" si="2">IF((AND(ISBLANK(AU69), ISBLANK(BA69), ISBLANK(AW69))),(IF(BB69&gt;0,BB69*G69,(IF(AND(G69&lt;&gt;"-",BC69&gt;0),BC69*G69,"-")))),"-")</f>
        <v>96500</v>
      </c>
      <c r="BE69" s="103" t="str">
        <f t="shared" ref="BE69:BE132" si="3">IF((AND(ISBLANK($AU69), ISBLANK($BA69), ISBLANK($AW69))),"-",((IF($BB69&gt;0,$BB69*$G69,(IF(AND($G69&lt;&gt;"-",$BC69&gt;0),$BC69*$G69,"-"))))))</f>
        <v>-</v>
      </c>
      <c r="BF69" s="158"/>
      <c r="BG69" s="98"/>
      <c r="BH69" s="98"/>
      <c r="BI69" s="104" t="str">
        <f>IF(ISBLANK($BG69),"-",(IF(BD69="-","-",BD69*(Lists!$K$10/100))))</f>
        <v>-</v>
      </c>
      <c r="BJ69" s="104" t="str">
        <f>IF(ISBLANK($BH69),"-",(IF(BD69="-","-",BD69*(Lists!$K$11/100))))</f>
        <v>-</v>
      </c>
      <c r="BK69" s="104" t="str">
        <f>IF(ISBLANK($BG69),"-",(IF(BE69="-","-",BE69*(Lists!$K$10/100))))</f>
        <v>-</v>
      </c>
      <c r="BL69" s="104" t="str">
        <f>IF(ISBLANK($BH69),"-",(IF(BE69="-","-",BE69*(Lists!$K$11/100))))</f>
        <v>-</v>
      </c>
      <c r="BM69" s="129"/>
      <c r="BN69" s="129"/>
      <c r="BO69" s="104" t="str">
        <f>IF(ISBLANK(BM69),"-",((Lists!$K$19/100)*(IF(BD69&lt;&gt;"-",BD69,BE69))))</f>
        <v>-</v>
      </c>
      <c r="BP69" s="104" t="str">
        <f>IF(ISBLANK(BN69),"-",((Lists!$K$20/100)*(IF(BD69&lt;&gt;"-",BD69,BE69))))</f>
        <v>-</v>
      </c>
    </row>
    <row r="70" spans="1:68" s="157" customFormat="1" ht="51" x14ac:dyDescent="0.25">
      <c r="A70" s="94" t="s">
        <v>84</v>
      </c>
      <c r="B70" s="82"/>
      <c r="C70" s="79" t="s">
        <v>118</v>
      </c>
      <c r="D70" s="160" t="s">
        <v>38</v>
      </c>
      <c r="E70" s="79">
        <v>530</v>
      </c>
      <c r="F70" s="79" t="s">
        <v>110</v>
      </c>
      <c r="G70" s="79">
        <v>530</v>
      </c>
      <c r="H70" s="79" t="s">
        <v>295</v>
      </c>
      <c r="I70" s="82"/>
      <c r="J70" s="161" t="s">
        <v>147</v>
      </c>
      <c r="K70" s="96" t="s">
        <v>334</v>
      </c>
      <c r="L70" s="97">
        <v>30</v>
      </c>
      <c r="M70" s="129"/>
      <c r="N70" s="129"/>
      <c r="O70" s="129"/>
      <c r="P70" s="129"/>
      <c r="Q70" s="129"/>
      <c r="R70" s="129"/>
      <c r="S70" s="129"/>
      <c r="T70" s="129"/>
      <c r="U70" s="96" t="s">
        <v>148</v>
      </c>
      <c r="V70" s="100"/>
      <c r="W70" s="100"/>
      <c r="X70" s="100"/>
      <c r="Y70" s="100"/>
      <c r="Z70" s="100"/>
      <c r="AA70" s="100"/>
      <c r="AB70" s="100"/>
      <c r="AC70" s="100"/>
      <c r="AD70" s="100"/>
      <c r="AE70" s="100"/>
      <c r="AF70" s="100"/>
      <c r="AG70" s="100" t="s">
        <v>299</v>
      </c>
      <c r="AH70" s="100"/>
      <c r="AI70" s="100"/>
      <c r="AJ70" s="100"/>
      <c r="AK70" s="100"/>
      <c r="AL70" s="100"/>
      <c r="AM70" s="100"/>
      <c r="AN70" s="100"/>
      <c r="AO70" s="100"/>
      <c r="AP70" s="100"/>
      <c r="AQ70" s="100"/>
      <c r="AR70" s="100"/>
      <c r="AS70" s="100"/>
      <c r="AT70" s="100"/>
      <c r="AU70" s="100"/>
      <c r="AV70" s="100"/>
      <c r="AW70" s="100"/>
      <c r="AX70" s="100"/>
      <c r="AY70" s="100"/>
      <c r="AZ70" s="100"/>
      <c r="BA70" s="100"/>
      <c r="BB70" s="107"/>
      <c r="BC70" s="102">
        <f>IF((SUMPRODUCT(--(V70:AV70&lt;&gt;""))=0),"0",(VLOOKUP((MATCH("X",$V70:$AV70,0)), Lists!$E$13:$G$39,3)))</f>
        <v>295</v>
      </c>
      <c r="BD70" s="103">
        <f t="shared" si="2"/>
        <v>156350</v>
      </c>
      <c r="BE70" s="103" t="str">
        <f t="shared" si="3"/>
        <v>-</v>
      </c>
      <c r="BF70" s="158"/>
      <c r="BG70" s="98"/>
      <c r="BH70" s="98"/>
      <c r="BI70" s="104" t="str">
        <f>IF(ISBLANK($BG70),"-",(IF(BD70="-","-",BD70*(Lists!$K$10/100))))</f>
        <v>-</v>
      </c>
      <c r="BJ70" s="104" t="str">
        <f>IF(ISBLANK($BH70),"-",(IF(BD70="-","-",BD70*(Lists!$K$11/100))))</f>
        <v>-</v>
      </c>
      <c r="BK70" s="104" t="str">
        <f>IF(ISBLANK($BG70),"-",(IF(BE70="-","-",BE70*(Lists!$K$10/100))))</f>
        <v>-</v>
      </c>
      <c r="BL70" s="104" t="str">
        <f>IF(ISBLANK($BH70),"-",(IF(BE70="-","-",BE70*(Lists!$K$11/100))))</f>
        <v>-</v>
      </c>
      <c r="BM70" s="129"/>
      <c r="BN70" s="129"/>
      <c r="BO70" s="104" t="str">
        <f>IF(ISBLANK(BM70),"-",((Lists!$K$19/100)*(IF(BD70&lt;&gt;"-",BD70,BE70))))</f>
        <v>-</v>
      </c>
      <c r="BP70" s="104" t="str">
        <f>IF(ISBLANK(BN70),"-",((Lists!$K$20/100)*(IF(BD70&lt;&gt;"-",BD70,BE70))))</f>
        <v>-</v>
      </c>
    </row>
    <row r="71" spans="1:68" s="157" customFormat="1" ht="42" customHeight="1" x14ac:dyDescent="0.25">
      <c r="A71" s="94" t="s">
        <v>84</v>
      </c>
      <c r="B71" s="82"/>
      <c r="C71" s="79" t="s">
        <v>38</v>
      </c>
      <c r="D71" s="160" t="s">
        <v>39</v>
      </c>
      <c r="E71" s="79">
        <v>320</v>
      </c>
      <c r="F71" s="79" t="s">
        <v>110</v>
      </c>
      <c r="G71" s="79">
        <v>320</v>
      </c>
      <c r="H71" s="79" t="s">
        <v>295</v>
      </c>
      <c r="I71" s="82"/>
      <c r="J71" s="161" t="s">
        <v>82</v>
      </c>
      <c r="K71" s="96" t="s">
        <v>340</v>
      </c>
      <c r="L71" s="97"/>
      <c r="M71" s="129"/>
      <c r="N71" s="129"/>
      <c r="O71" s="129"/>
      <c r="P71" s="129"/>
      <c r="Q71" s="129"/>
      <c r="R71" s="129"/>
      <c r="S71" s="129"/>
      <c r="T71" s="129"/>
      <c r="U71" s="96" t="s">
        <v>104</v>
      </c>
      <c r="V71" s="100"/>
      <c r="W71" s="100"/>
      <c r="X71" s="100"/>
      <c r="Y71" s="100"/>
      <c r="Z71" s="100"/>
      <c r="AA71" s="100"/>
      <c r="AB71" s="100"/>
      <c r="AC71" s="100"/>
      <c r="AD71" s="100"/>
      <c r="AE71" s="100"/>
      <c r="AF71" s="100"/>
      <c r="AG71" s="100"/>
      <c r="AH71" s="100"/>
      <c r="AI71" s="100"/>
      <c r="AJ71" s="100"/>
      <c r="AK71" s="100"/>
      <c r="AL71" s="100"/>
      <c r="AM71" s="100"/>
      <c r="AN71" s="100"/>
      <c r="AO71" s="100"/>
      <c r="AP71" s="100" t="s">
        <v>299</v>
      </c>
      <c r="AQ71" s="100"/>
      <c r="AR71" s="100"/>
      <c r="AS71" s="100"/>
      <c r="AT71" s="100"/>
      <c r="AU71" s="100"/>
      <c r="AV71" s="100"/>
      <c r="AW71" s="100"/>
      <c r="AX71" s="100"/>
      <c r="AY71" s="100"/>
      <c r="AZ71" s="100"/>
      <c r="BA71" s="100"/>
      <c r="BB71" s="107"/>
      <c r="BC71" s="102">
        <f>IF((SUMPRODUCT(--(V71:AV71&lt;&gt;""))=0),"0",(VLOOKUP((MATCH("X",$V71:$AV71,0)), Lists!$E$13:$G$39,3)))</f>
        <v>175</v>
      </c>
      <c r="BD71" s="103">
        <f t="shared" si="2"/>
        <v>56000</v>
      </c>
      <c r="BE71" s="103" t="str">
        <f t="shared" si="3"/>
        <v>-</v>
      </c>
      <c r="BF71" s="158"/>
      <c r="BG71" s="98" t="s">
        <v>15</v>
      </c>
      <c r="BH71" s="98" t="s">
        <v>15</v>
      </c>
      <c r="BI71" s="104">
        <f>IF(ISBLANK($BG71),"-",(IF(BD71="-","-",BD71*(Lists!$K$10/100))))</f>
        <v>8400</v>
      </c>
      <c r="BJ71" s="104">
        <f>IF(ISBLANK($BH71),"-",(IF(BD71="-","-",BD71*(Lists!$K$11/100))))</f>
        <v>5600</v>
      </c>
      <c r="BK71" s="104" t="str">
        <f>IF(ISBLANK($BG71),"-",(IF(BE71="-","-",BE71*(Lists!$K$10/100))))</f>
        <v>-</v>
      </c>
      <c r="BL71" s="104" t="str">
        <f>IF(ISBLANK($BH71),"-",(IF(BE71="-","-",BE71*(Lists!$K$11/100))))</f>
        <v>-</v>
      </c>
      <c r="BM71" s="129"/>
      <c r="BN71" s="98" t="s">
        <v>15</v>
      </c>
      <c r="BO71" s="104" t="str">
        <f>IF(ISBLANK(BM71),"-",((Lists!$K$19/100)*(IF(BD71&lt;&gt;"-",BD71,BE71))))</f>
        <v>-</v>
      </c>
      <c r="BP71" s="104">
        <f>IF(ISBLANK(BN71),"-",((Lists!$K$20/100)*(IF(BD71&lt;&gt;"-",BD71,BE71))))</f>
        <v>2800</v>
      </c>
    </row>
    <row r="72" spans="1:68" s="157" customFormat="1" ht="42" customHeight="1" x14ac:dyDescent="0.25">
      <c r="A72" s="94" t="s">
        <v>84</v>
      </c>
      <c r="B72" s="82"/>
      <c r="C72" s="79" t="s">
        <v>39</v>
      </c>
      <c r="D72" s="160" t="s">
        <v>125</v>
      </c>
      <c r="E72" s="79">
        <v>263</v>
      </c>
      <c r="F72" s="79" t="s">
        <v>110</v>
      </c>
      <c r="G72" s="79">
        <v>263</v>
      </c>
      <c r="H72" s="79" t="s">
        <v>295</v>
      </c>
      <c r="I72" s="82"/>
      <c r="J72" s="161" t="s">
        <v>149</v>
      </c>
      <c r="K72" s="96" t="s">
        <v>334</v>
      </c>
      <c r="L72" s="97">
        <v>20</v>
      </c>
      <c r="M72" s="129"/>
      <c r="N72" s="129"/>
      <c r="O72" s="129"/>
      <c r="P72" s="129"/>
      <c r="Q72" s="129" t="s">
        <v>15</v>
      </c>
      <c r="R72" s="129"/>
      <c r="S72" s="129"/>
      <c r="T72" s="129" t="s">
        <v>15</v>
      </c>
      <c r="U72" s="96" t="s">
        <v>387</v>
      </c>
      <c r="V72" s="100"/>
      <c r="W72" s="100"/>
      <c r="X72" s="100"/>
      <c r="Y72" s="100"/>
      <c r="Z72" s="100"/>
      <c r="AA72" s="100"/>
      <c r="AB72" s="100"/>
      <c r="AC72" s="100"/>
      <c r="AD72" s="100"/>
      <c r="AE72" s="100"/>
      <c r="AF72" s="100"/>
      <c r="AG72" s="100" t="s">
        <v>299</v>
      </c>
      <c r="AH72" s="100"/>
      <c r="AI72" s="100"/>
      <c r="AJ72" s="100"/>
      <c r="AK72" s="100"/>
      <c r="AL72" s="100"/>
      <c r="AM72" s="100"/>
      <c r="AN72" s="100"/>
      <c r="AO72" s="100"/>
      <c r="AP72" s="100"/>
      <c r="AQ72" s="100"/>
      <c r="AR72" s="100"/>
      <c r="AS72" s="100"/>
      <c r="AT72" s="100"/>
      <c r="AU72" s="100"/>
      <c r="AV72" s="100"/>
      <c r="AW72" s="100"/>
      <c r="AX72" s="100"/>
      <c r="AY72" s="100"/>
      <c r="AZ72" s="100"/>
      <c r="BA72" s="100"/>
      <c r="BB72" s="107"/>
      <c r="BC72" s="102">
        <f>IF((SUMPRODUCT(--(V72:AV72&lt;&gt;""))=0),"0",(VLOOKUP((MATCH("X",$V72:$AV72,0)), Lists!$E$13:$G$39,3)))</f>
        <v>295</v>
      </c>
      <c r="BD72" s="103">
        <f t="shared" si="2"/>
        <v>77585</v>
      </c>
      <c r="BE72" s="103" t="str">
        <f t="shared" si="3"/>
        <v>-</v>
      </c>
      <c r="BF72" s="158"/>
      <c r="BG72" s="98"/>
      <c r="BH72" s="98"/>
      <c r="BI72" s="104" t="str">
        <f>IF(ISBLANK($BG72),"-",(IF(BD72="-","-",BD72*(Lists!$K$10/100))))</f>
        <v>-</v>
      </c>
      <c r="BJ72" s="104" t="str">
        <f>IF(ISBLANK($BH72),"-",(IF(BD72="-","-",BD72*(Lists!$K$11/100))))</f>
        <v>-</v>
      </c>
      <c r="BK72" s="104" t="str">
        <f>IF(ISBLANK($BG72),"-",(IF(BE72="-","-",BE72*(Lists!$K$10/100))))</f>
        <v>-</v>
      </c>
      <c r="BL72" s="104" t="str">
        <f>IF(ISBLANK($BH72),"-",(IF(BE72="-","-",BE72*(Lists!$K$11/100))))</f>
        <v>-</v>
      </c>
      <c r="BM72" s="129"/>
      <c r="BN72" s="129"/>
      <c r="BO72" s="104" t="str">
        <f>IF(ISBLANK(BM72),"-",((Lists!$K$19/100)*(IF(BD72&lt;&gt;"-",BD72,BE72))))</f>
        <v>-</v>
      </c>
      <c r="BP72" s="104" t="str">
        <f>IF(ISBLANK(BN72),"-",((Lists!$K$20/100)*(IF(BD72&lt;&gt;"-",BD72,BE72))))</f>
        <v>-</v>
      </c>
    </row>
    <row r="73" spans="1:68" s="157" customFormat="1" ht="42" customHeight="1" x14ac:dyDescent="0.25">
      <c r="A73" s="94" t="s">
        <v>84</v>
      </c>
      <c r="B73" s="82"/>
      <c r="C73" s="79" t="s">
        <v>125</v>
      </c>
      <c r="D73" s="160" t="s">
        <v>125</v>
      </c>
      <c r="E73" s="79" t="s">
        <v>110</v>
      </c>
      <c r="F73" s="79" t="s">
        <v>110</v>
      </c>
      <c r="G73" s="79">
        <v>1</v>
      </c>
      <c r="H73" s="79" t="s">
        <v>294</v>
      </c>
      <c r="I73" s="82"/>
      <c r="J73" s="161" t="s">
        <v>150</v>
      </c>
      <c r="K73" s="96" t="s">
        <v>334</v>
      </c>
      <c r="L73" s="97">
        <v>20</v>
      </c>
      <c r="M73" s="129"/>
      <c r="N73" s="129"/>
      <c r="O73" s="129"/>
      <c r="P73" s="129"/>
      <c r="Q73" s="129"/>
      <c r="R73" s="129"/>
      <c r="S73" s="129"/>
      <c r="T73" s="129"/>
      <c r="U73" s="96" t="s">
        <v>290</v>
      </c>
      <c r="V73" s="100"/>
      <c r="W73" s="100" t="s">
        <v>299</v>
      </c>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7"/>
      <c r="BC73" s="102">
        <f>IF((SUMPRODUCT(--(V73:AV73&lt;&gt;""))=0),"0",(VLOOKUP((MATCH("X",$V73:$AV73,0)), Lists!$E$13:$G$39,3)))</f>
        <v>96500</v>
      </c>
      <c r="BD73" s="103">
        <f t="shared" si="2"/>
        <v>96500</v>
      </c>
      <c r="BE73" s="103" t="str">
        <f t="shared" si="3"/>
        <v>-</v>
      </c>
      <c r="BF73" s="158"/>
      <c r="BG73" s="98"/>
      <c r="BH73" s="98"/>
      <c r="BI73" s="104" t="str">
        <f>IF(ISBLANK($BG73),"-",(IF(BD73="-","-",BD73*(Lists!$K$10/100))))</f>
        <v>-</v>
      </c>
      <c r="BJ73" s="104" t="str">
        <f>IF(ISBLANK($BH73),"-",(IF(BD73="-","-",BD73*(Lists!$K$11/100))))</f>
        <v>-</v>
      </c>
      <c r="BK73" s="104" t="str">
        <f>IF(ISBLANK($BG73),"-",(IF(BE73="-","-",BE73*(Lists!$K$10/100))))</f>
        <v>-</v>
      </c>
      <c r="BL73" s="104" t="str">
        <f>IF(ISBLANK($BH73),"-",(IF(BE73="-","-",BE73*(Lists!$K$11/100))))</f>
        <v>-</v>
      </c>
      <c r="BM73" s="129"/>
      <c r="BN73" s="129"/>
      <c r="BO73" s="104" t="str">
        <f>IF(ISBLANK(BM73),"-",((Lists!$K$19/100)*(IF(BD73&lt;&gt;"-",BD73,BE73))))</f>
        <v>-</v>
      </c>
      <c r="BP73" s="104" t="str">
        <f>IF(ISBLANK(BN73),"-",((Lists!$K$20/100)*(IF(BD73&lt;&gt;"-",BD73,BE73))))</f>
        <v>-</v>
      </c>
    </row>
    <row r="74" spans="1:68" s="157" customFormat="1" ht="38.25" x14ac:dyDescent="0.25">
      <c r="A74" s="94" t="s">
        <v>84</v>
      </c>
      <c r="B74" s="82"/>
      <c r="C74" s="79" t="s">
        <v>125</v>
      </c>
      <c r="D74" s="160" t="s">
        <v>40</v>
      </c>
      <c r="E74" s="79">
        <v>72</v>
      </c>
      <c r="F74" s="79" t="s">
        <v>110</v>
      </c>
      <c r="G74" s="79">
        <v>1</v>
      </c>
      <c r="H74" s="79" t="s">
        <v>294</v>
      </c>
      <c r="I74" s="82"/>
      <c r="J74" s="161" t="s">
        <v>151</v>
      </c>
      <c r="K74" s="96" t="s">
        <v>334</v>
      </c>
      <c r="L74" s="97">
        <v>30</v>
      </c>
      <c r="M74" s="129"/>
      <c r="N74" s="129" t="s">
        <v>15</v>
      </c>
      <c r="O74" s="129"/>
      <c r="P74" s="129"/>
      <c r="Q74" s="129"/>
      <c r="R74" s="129"/>
      <c r="S74" s="129"/>
      <c r="T74" s="129"/>
      <c r="U74" s="96" t="s">
        <v>356</v>
      </c>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t="s">
        <v>299</v>
      </c>
      <c r="AY74" s="100"/>
      <c r="AZ74" s="100"/>
      <c r="BA74" s="100"/>
      <c r="BB74" s="134">
        <v>2500</v>
      </c>
      <c r="BC74" s="102" t="str">
        <f>IF((SUMPRODUCT(--(V74:AV74&lt;&gt;""))=0),"0",(VLOOKUP((MATCH("X",$V74:$AV74,0)), Lists!$E$13:$G$39,3)))</f>
        <v>0</v>
      </c>
      <c r="BD74" s="103">
        <f t="shared" si="2"/>
        <v>2500</v>
      </c>
      <c r="BE74" s="103" t="str">
        <f t="shared" si="3"/>
        <v>-</v>
      </c>
      <c r="BF74" s="128" t="s">
        <v>478</v>
      </c>
      <c r="BG74" s="98"/>
      <c r="BH74" s="98"/>
      <c r="BI74" s="104" t="str">
        <f>IF(ISBLANK($BG74),"-",(IF(BD74="-","-",BD74*(Lists!$K$10/100))))</f>
        <v>-</v>
      </c>
      <c r="BJ74" s="104" t="str">
        <f>IF(ISBLANK($BH74),"-",(IF(BD74="-","-",BD74*(Lists!$K$11/100))))</f>
        <v>-</v>
      </c>
      <c r="BK74" s="104" t="str">
        <f>IF(ISBLANK($BG74),"-",(IF(BE74="-","-",BE74*(Lists!$K$10/100))))</f>
        <v>-</v>
      </c>
      <c r="BL74" s="104" t="str">
        <f>IF(ISBLANK($BH74),"-",(IF(BE74="-","-",BE74*(Lists!$K$11/100))))</f>
        <v>-</v>
      </c>
      <c r="BM74" s="129"/>
      <c r="BN74" s="129"/>
      <c r="BO74" s="104" t="str">
        <f>IF(ISBLANK(BM74),"-",((Lists!$K$19/100)*(IF(BD74&lt;&gt;"-",BD74,BE74))))</f>
        <v>-</v>
      </c>
      <c r="BP74" s="104" t="str">
        <f>IF(ISBLANK(BN74),"-",((Lists!$K$20/100)*(IF(BD74&lt;&gt;"-",BD74,BE74))))</f>
        <v>-</v>
      </c>
    </row>
    <row r="75" spans="1:68" s="147" customFormat="1" ht="21.75" customHeight="1" x14ac:dyDescent="0.25">
      <c r="A75" s="128" t="s">
        <v>7</v>
      </c>
      <c r="B75" s="130"/>
      <c r="C75" s="309" t="s">
        <v>40</v>
      </c>
      <c r="D75" s="309" t="s">
        <v>112</v>
      </c>
      <c r="E75" s="97">
        <v>33</v>
      </c>
      <c r="F75" s="97" t="s">
        <v>110</v>
      </c>
      <c r="G75" s="97">
        <v>33</v>
      </c>
      <c r="H75" s="97" t="s">
        <v>295</v>
      </c>
      <c r="I75" s="128"/>
      <c r="J75" s="96" t="s">
        <v>359</v>
      </c>
      <c r="K75" s="314" t="s">
        <v>341</v>
      </c>
      <c r="L75" s="307">
        <v>20</v>
      </c>
      <c r="M75" s="98" t="s">
        <v>15</v>
      </c>
      <c r="N75" s="98"/>
      <c r="O75" s="129"/>
      <c r="P75" s="98"/>
      <c r="Q75" s="129" t="s">
        <v>15</v>
      </c>
      <c r="R75" s="129"/>
      <c r="S75" s="129"/>
      <c r="T75" s="98" t="s">
        <v>15</v>
      </c>
      <c r="U75" s="328" t="s">
        <v>489</v>
      </c>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t="s">
        <v>299</v>
      </c>
      <c r="AS75" s="100"/>
      <c r="AT75" s="100"/>
      <c r="AU75" s="100"/>
      <c r="AV75" s="100"/>
      <c r="AW75" s="100"/>
      <c r="AX75" s="100"/>
      <c r="AY75" s="100"/>
      <c r="AZ75" s="100"/>
      <c r="BA75" s="100"/>
      <c r="BB75" s="107"/>
      <c r="BC75" s="102">
        <f>IF((SUMPRODUCT(--(V75:AV75&lt;&gt;""))=0),"0",(VLOOKUP((MATCH("X",$V75:$AV75,0)), Lists!$E$13:$G$39,3)))</f>
        <v>510</v>
      </c>
      <c r="BD75" s="103">
        <f t="shared" si="2"/>
        <v>16830</v>
      </c>
      <c r="BE75" s="103" t="str">
        <f t="shared" si="3"/>
        <v>-</v>
      </c>
      <c r="BF75" s="146"/>
      <c r="BG75" s="98"/>
      <c r="BH75" s="98" t="s">
        <v>15</v>
      </c>
      <c r="BI75" s="104" t="str">
        <f>IF(ISBLANK($BG75),"-",(IF(BD75="-","-",BD75*(Lists!$K$10/100))))</f>
        <v>-</v>
      </c>
      <c r="BJ75" s="104">
        <f>IF(ISBLANK($BH75),"-",(IF(BD75="-","-",BD75*(Lists!$K$11/100))))</f>
        <v>1683</v>
      </c>
      <c r="BK75" s="104" t="str">
        <f>IF(ISBLANK($BG75),"-",(IF(BE75="-","-",BE75*(Lists!$K$10/100))))</f>
        <v>-</v>
      </c>
      <c r="BL75" s="104" t="str">
        <f>IF(ISBLANK($BH75),"-",(IF(BE75="-","-",BE75*(Lists!$K$11/100))))</f>
        <v>-</v>
      </c>
      <c r="BM75" s="98"/>
      <c r="BN75" s="98" t="s">
        <v>15</v>
      </c>
      <c r="BO75" s="104" t="str">
        <f>IF(ISBLANK(BM75),"-",((Lists!$K$19/100)*(IF(BD75&lt;&gt;"-",BD75,BE75))))</f>
        <v>-</v>
      </c>
      <c r="BP75" s="104">
        <f>IF(ISBLANK(BN75),"-",((Lists!$K$20/100)*(IF(BD75&lt;&gt;"-",BD75,BE75))))</f>
        <v>841.5</v>
      </c>
    </row>
    <row r="76" spans="1:68" s="147" customFormat="1" ht="21.75" customHeight="1" x14ac:dyDescent="0.25">
      <c r="A76" s="128" t="s">
        <v>7</v>
      </c>
      <c r="B76" s="149"/>
      <c r="C76" s="309"/>
      <c r="D76" s="309"/>
      <c r="E76" s="97">
        <v>46</v>
      </c>
      <c r="F76" s="97" t="s">
        <v>110</v>
      </c>
      <c r="G76" s="97">
        <v>46</v>
      </c>
      <c r="H76" s="97" t="s">
        <v>295</v>
      </c>
      <c r="I76" s="128"/>
      <c r="J76" s="96" t="s">
        <v>360</v>
      </c>
      <c r="K76" s="315"/>
      <c r="L76" s="351"/>
      <c r="M76" s="98"/>
      <c r="N76" s="98"/>
      <c r="O76" s="129"/>
      <c r="P76" s="98"/>
      <c r="Q76" s="129"/>
      <c r="R76" s="129"/>
      <c r="S76" s="129"/>
      <c r="T76" s="98"/>
      <c r="U76" s="328"/>
      <c r="V76" s="100"/>
      <c r="W76" s="100"/>
      <c r="X76" s="100"/>
      <c r="Y76" s="100"/>
      <c r="Z76" s="100"/>
      <c r="AA76" s="100"/>
      <c r="AB76" s="100"/>
      <c r="AC76" s="100"/>
      <c r="AD76" s="100"/>
      <c r="AE76" s="100"/>
      <c r="AF76" s="100"/>
      <c r="AG76" s="100"/>
      <c r="AH76" s="100"/>
      <c r="AI76" s="100"/>
      <c r="AJ76" s="100" t="s">
        <v>299</v>
      </c>
      <c r="AK76" s="100"/>
      <c r="AL76" s="100"/>
      <c r="AM76" s="100"/>
      <c r="AN76" s="100"/>
      <c r="AO76" s="100"/>
      <c r="AP76" s="100"/>
      <c r="AQ76" s="100"/>
      <c r="AR76" s="100"/>
      <c r="AS76" s="100"/>
      <c r="AT76" s="100"/>
      <c r="AU76" s="100"/>
      <c r="AV76" s="100"/>
      <c r="AW76" s="100"/>
      <c r="AX76" s="100"/>
      <c r="AY76" s="100"/>
      <c r="AZ76" s="100"/>
      <c r="BA76" s="100"/>
      <c r="BB76" s="107"/>
      <c r="BC76" s="102">
        <f>IF((SUMPRODUCT(--(V76:AV76&lt;&gt;""))=0),"0",(VLOOKUP((MATCH("X",$V76:$AV76,0)), Lists!$E$13:$G$39,3)))</f>
        <v>36</v>
      </c>
      <c r="BD76" s="103">
        <f t="shared" si="2"/>
        <v>1656</v>
      </c>
      <c r="BE76" s="103" t="str">
        <f t="shared" si="3"/>
        <v>-</v>
      </c>
      <c r="BF76" s="146"/>
      <c r="BG76" s="98"/>
      <c r="BH76" s="98" t="s">
        <v>15</v>
      </c>
      <c r="BI76" s="104" t="str">
        <f>IF(ISBLANK($BG76),"-",(IF(BD76="-","-",BD76*(Lists!$K$10/100))))</f>
        <v>-</v>
      </c>
      <c r="BJ76" s="104">
        <f>IF(ISBLANK($BH76),"-",(IF(BD76="-","-",BD76*(Lists!$K$11/100))))</f>
        <v>165.60000000000002</v>
      </c>
      <c r="BK76" s="104" t="str">
        <f>IF(ISBLANK($BG76),"-",(IF(BE76="-","-",BE76*(Lists!$K$10/100))))</f>
        <v>-</v>
      </c>
      <c r="BL76" s="104" t="str">
        <f>IF(ISBLANK($BH76),"-",(IF(BE76="-","-",BE76*(Lists!$K$11/100))))</f>
        <v>-</v>
      </c>
      <c r="BM76" s="98"/>
      <c r="BN76" s="98" t="s">
        <v>15</v>
      </c>
      <c r="BO76" s="104" t="str">
        <f>IF(ISBLANK(BM76),"-",((Lists!$K$19/100)*(IF(BD76&lt;&gt;"-",BD76,BE76))))</f>
        <v>-</v>
      </c>
      <c r="BP76" s="104">
        <f>IF(ISBLANK(BN76),"-",((Lists!$K$20/100)*(IF(BD76&lt;&gt;"-",BD76,BE76))))</f>
        <v>82.800000000000011</v>
      </c>
    </row>
    <row r="77" spans="1:68" s="147" customFormat="1" ht="21.75" customHeight="1" x14ac:dyDescent="0.25">
      <c r="A77" s="128" t="s">
        <v>7</v>
      </c>
      <c r="B77" s="149"/>
      <c r="C77" s="309"/>
      <c r="D77" s="309"/>
      <c r="E77" s="97">
        <v>87</v>
      </c>
      <c r="F77" s="106">
        <v>3</v>
      </c>
      <c r="G77" s="97">
        <f>E77*F77</f>
        <v>261</v>
      </c>
      <c r="H77" s="97" t="s">
        <v>300</v>
      </c>
      <c r="I77" s="128"/>
      <c r="J77" s="96" t="s">
        <v>358</v>
      </c>
      <c r="K77" s="315"/>
      <c r="L77" s="351"/>
      <c r="M77" s="98"/>
      <c r="N77" s="98"/>
      <c r="O77" s="129"/>
      <c r="P77" s="98"/>
      <c r="Q77" s="129"/>
      <c r="R77" s="129"/>
      <c r="S77" s="129"/>
      <c r="T77" s="98"/>
      <c r="U77" s="328"/>
      <c r="V77" s="100"/>
      <c r="W77" s="100"/>
      <c r="X77" s="100"/>
      <c r="Y77" s="100"/>
      <c r="Z77" s="100"/>
      <c r="AA77" s="100"/>
      <c r="AB77" s="100"/>
      <c r="AC77" s="100"/>
      <c r="AD77" s="100"/>
      <c r="AE77" s="100"/>
      <c r="AF77" s="100"/>
      <c r="AG77" s="100"/>
      <c r="AH77" s="100"/>
      <c r="AI77" s="100" t="s">
        <v>299</v>
      </c>
      <c r="AJ77" s="100"/>
      <c r="AK77" s="100"/>
      <c r="AL77" s="100"/>
      <c r="AM77" s="100"/>
      <c r="AN77" s="100"/>
      <c r="AO77" s="100"/>
      <c r="AP77" s="100"/>
      <c r="AQ77" s="100"/>
      <c r="AR77" s="100"/>
      <c r="AS77" s="100"/>
      <c r="AT77" s="100"/>
      <c r="AU77" s="100"/>
      <c r="AV77" s="100"/>
      <c r="AW77" s="100"/>
      <c r="AX77" s="100"/>
      <c r="AY77" s="100"/>
      <c r="AZ77" s="100"/>
      <c r="BA77" s="100"/>
      <c r="BB77" s="107"/>
      <c r="BC77" s="102">
        <f>IF((SUMPRODUCT(--(V77:AV77&lt;&gt;""))=0),"0",(VLOOKUP((MATCH("X",$V77:$AV77,0)), Lists!$E$13:$G$39,3)))</f>
        <v>65</v>
      </c>
      <c r="BD77" s="103">
        <f t="shared" si="2"/>
        <v>16965</v>
      </c>
      <c r="BE77" s="103" t="str">
        <f t="shared" si="3"/>
        <v>-</v>
      </c>
      <c r="BF77" s="146"/>
      <c r="BG77" s="98"/>
      <c r="BH77" s="98" t="s">
        <v>15</v>
      </c>
      <c r="BI77" s="104" t="str">
        <f>IF(ISBLANK($BG77),"-",(IF(BD77="-","-",BD77*(Lists!$K$10/100))))</f>
        <v>-</v>
      </c>
      <c r="BJ77" s="104">
        <f>IF(ISBLANK($BH77),"-",(IF(BD77="-","-",BD77*(Lists!$K$11/100))))</f>
        <v>1696.5</v>
      </c>
      <c r="BK77" s="104" t="str">
        <f>IF(ISBLANK($BG77),"-",(IF(BE77="-","-",BE77*(Lists!$K$10/100))))</f>
        <v>-</v>
      </c>
      <c r="BL77" s="104" t="str">
        <f>IF(ISBLANK($BH77),"-",(IF(BE77="-","-",BE77*(Lists!$K$11/100))))</f>
        <v>-</v>
      </c>
      <c r="BM77" s="98"/>
      <c r="BN77" s="98" t="s">
        <v>15</v>
      </c>
      <c r="BO77" s="104" t="str">
        <f>IF(ISBLANK(BM77),"-",((Lists!$K$19/100)*(IF(BD77&lt;&gt;"-",BD77,BE77))))</f>
        <v>-</v>
      </c>
      <c r="BP77" s="104">
        <f>IF(ISBLANK(BN77),"-",((Lists!$K$20/100)*(IF(BD77&lt;&gt;"-",BD77,BE77))))</f>
        <v>848.25</v>
      </c>
    </row>
    <row r="78" spans="1:68" s="147" customFormat="1" ht="38.25" x14ac:dyDescent="0.25">
      <c r="A78" s="105" t="s">
        <v>85</v>
      </c>
      <c r="B78" s="128"/>
      <c r="C78" s="307" t="s">
        <v>165</v>
      </c>
      <c r="D78" s="307" t="s">
        <v>44</v>
      </c>
      <c r="E78" s="97">
        <v>534</v>
      </c>
      <c r="F78" s="97" t="s">
        <v>110</v>
      </c>
      <c r="G78" s="97">
        <v>534</v>
      </c>
      <c r="H78" s="97" t="s">
        <v>295</v>
      </c>
      <c r="I78" s="128"/>
      <c r="J78" s="96" t="s">
        <v>98</v>
      </c>
      <c r="K78" s="96" t="s">
        <v>342</v>
      </c>
      <c r="L78" s="97">
        <v>30</v>
      </c>
      <c r="M78" s="129"/>
      <c r="N78" s="129"/>
      <c r="O78" s="129"/>
      <c r="P78" s="129"/>
      <c r="Q78" s="129" t="s">
        <v>15</v>
      </c>
      <c r="R78" s="129"/>
      <c r="S78" s="129"/>
      <c r="T78" s="129"/>
      <c r="U78" s="96" t="s">
        <v>659</v>
      </c>
      <c r="V78" s="100"/>
      <c r="W78" s="100"/>
      <c r="X78" s="100"/>
      <c r="Y78" s="100"/>
      <c r="Z78" s="100"/>
      <c r="AA78" s="100"/>
      <c r="AB78" s="100"/>
      <c r="AC78" s="100"/>
      <c r="AD78" s="100"/>
      <c r="AE78" s="100"/>
      <c r="AF78" s="100"/>
      <c r="AG78" s="100" t="s">
        <v>299</v>
      </c>
      <c r="AH78" s="100"/>
      <c r="AI78" s="100"/>
      <c r="AJ78" s="100"/>
      <c r="AK78" s="100"/>
      <c r="AL78" s="100"/>
      <c r="AM78" s="100"/>
      <c r="AN78" s="100"/>
      <c r="AO78" s="100"/>
      <c r="AP78" s="100"/>
      <c r="AQ78" s="100"/>
      <c r="AR78" s="100"/>
      <c r="AS78" s="100"/>
      <c r="AT78" s="100"/>
      <c r="AU78" s="100"/>
      <c r="AV78" s="100"/>
      <c r="AW78" s="100"/>
      <c r="AX78" s="100"/>
      <c r="AY78" s="100"/>
      <c r="AZ78" s="100"/>
      <c r="BA78" s="100"/>
      <c r="BB78" s="134"/>
      <c r="BC78" s="102">
        <f>IF((SUMPRODUCT(--(V78:AV78&lt;&gt;""))=0),"0",(VLOOKUP((MATCH("X",$V78:$AV78,0)), Lists!$E$13:$G$39,3)))</f>
        <v>295</v>
      </c>
      <c r="BD78" s="103">
        <f t="shared" si="2"/>
        <v>157530</v>
      </c>
      <c r="BE78" s="103" t="str">
        <f t="shared" si="3"/>
        <v>-</v>
      </c>
      <c r="BF78" s="128"/>
      <c r="BG78" s="98"/>
      <c r="BH78" s="132" t="s">
        <v>15</v>
      </c>
      <c r="BI78" s="104" t="str">
        <f>IF(ISBLANK($BG78),"-",(IF(BD78="-","-",BD78*(Lists!$K$10/100))))</f>
        <v>-</v>
      </c>
      <c r="BJ78" s="104">
        <f>IF(ISBLANK($BH78),"-",(IF(BD78="-","-",BD78*(Lists!$K$11/100))))</f>
        <v>15753</v>
      </c>
      <c r="BK78" s="104" t="str">
        <f>IF(ISBLANK($BG78),"-",(IF(BE78="-","-",BE78*(Lists!$K$10/100))))</f>
        <v>-</v>
      </c>
      <c r="BL78" s="104" t="str">
        <f>IF(ISBLANK($BH78),"-",(IF(BE78="-","-",BE78*(Lists!$K$11/100))))</f>
        <v>-</v>
      </c>
      <c r="BM78" s="129"/>
      <c r="BN78" s="98"/>
      <c r="BO78" s="104" t="str">
        <f>IF(ISBLANK(BM78),"-",((Lists!$K$19/100)*(IF(BD78&lt;&gt;"-",BD78,BE78))))</f>
        <v>-</v>
      </c>
      <c r="BP78" s="104" t="str">
        <f>IF(ISBLANK(BN78),"-",((Lists!$K$20/100)*(IF(BD78&lt;&gt;"-",BD78,BE78))))</f>
        <v>-</v>
      </c>
    </row>
    <row r="79" spans="1:68" s="147" customFormat="1" x14ac:dyDescent="0.25">
      <c r="A79" s="105" t="s">
        <v>85</v>
      </c>
      <c r="B79" s="128"/>
      <c r="C79" s="308"/>
      <c r="D79" s="308"/>
      <c r="E79" s="97" t="s">
        <v>110</v>
      </c>
      <c r="F79" s="97" t="s">
        <v>110</v>
      </c>
      <c r="G79" s="97">
        <v>1</v>
      </c>
      <c r="H79" s="97" t="s">
        <v>294</v>
      </c>
      <c r="I79" s="128"/>
      <c r="J79" s="96" t="s">
        <v>669</v>
      </c>
      <c r="K79" s="96" t="s">
        <v>681</v>
      </c>
      <c r="L79" s="97"/>
      <c r="M79" s="129"/>
      <c r="N79" s="129"/>
      <c r="O79" s="129"/>
      <c r="P79" s="129"/>
      <c r="Q79" s="129"/>
      <c r="R79" s="129"/>
      <c r="S79" s="129"/>
      <c r="T79" s="129"/>
      <c r="U79" s="96"/>
      <c r="V79" s="100"/>
      <c r="W79" s="100"/>
      <c r="X79" s="100"/>
      <c r="Y79" s="100"/>
      <c r="Z79" s="100"/>
      <c r="AA79" s="100"/>
      <c r="AB79" s="100"/>
      <c r="AC79" s="100"/>
      <c r="AD79" s="100"/>
      <c r="AE79" s="100"/>
      <c r="AF79" s="100"/>
      <c r="AG79" s="100"/>
      <c r="AH79" s="100"/>
      <c r="AI79" s="100"/>
      <c r="AJ79" s="100"/>
      <c r="AK79" s="100" t="s">
        <v>299</v>
      </c>
      <c r="AL79" s="100"/>
      <c r="AM79" s="100"/>
      <c r="AN79" s="100"/>
      <c r="AO79" s="100"/>
      <c r="AP79" s="100"/>
      <c r="AQ79" s="100"/>
      <c r="AR79" s="100"/>
      <c r="AS79" s="100"/>
      <c r="AT79" s="100"/>
      <c r="AU79" s="100"/>
      <c r="AV79" s="100"/>
      <c r="AW79" s="100"/>
      <c r="AX79" s="100"/>
      <c r="AY79" s="100"/>
      <c r="AZ79" s="100"/>
      <c r="BA79" s="100"/>
      <c r="BB79" s="134"/>
      <c r="BC79" s="102">
        <f>IF((SUMPRODUCT(--(V79:AV79&lt;&gt;""))=0),"0",(VLOOKUP((MATCH("X",$V79:$AV79,0)), Lists!$E$13:$G$39,3)))</f>
        <v>18750</v>
      </c>
      <c r="BD79" s="103">
        <f t="shared" si="2"/>
        <v>18750</v>
      </c>
      <c r="BE79" s="103" t="str">
        <f t="shared" si="3"/>
        <v>-</v>
      </c>
      <c r="BF79" s="128"/>
      <c r="BG79" s="98"/>
      <c r="BH79" s="132" t="s">
        <v>15</v>
      </c>
      <c r="BI79" s="104" t="str">
        <f>IF(ISBLANK($BG79),"-",(IF(BD79="-","-",BD79*(Lists!$K$10/100))))</f>
        <v>-</v>
      </c>
      <c r="BJ79" s="104">
        <f>IF(ISBLANK($BH79),"-",(IF(BD79="-","-",BD79*(Lists!$K$11/100))))</f>
        <v>1875</v>
      </c>
      <c r="BK79" s="104" t="str">
        <f>IF(ISBLANK($BG79),"-",(IF(BE79="-","-",BE79*(Lists!$K$10/100))))</f>
        <v>-</v>
      </c>
      <c r="BL79" s="104" t="str">
        <f>IF(ISBLANK($BH79),"-",(IF(BE79="-","-",BE79*(Lists!$K$11/100))))</f>
        <v>-</v>
      </c>
      <c r="BM79" s="129"/>
      <c r="BN79" s="98"/>
      <c r="BO79" s="104" t="str">
        <f>IF(ISBLANK(BM79),"-",((Lists!$K$19/100)*(IF(BD79&lt;&gt;"-",BD79,BE79))))</f>
        <v>-</v>
      </c>
      <c r="BP79" s="104" t="str">
        <f>IF(ISBLANK(BN79),"-",((Lists!$K$20/100)*(IF(BD79&lt;&gt;"-",BD79,BE79))))</f>
        <v>-</v>
      </c>
    </row>
    <row r="80" spans="1:68" s="147" customFormat="1" ht="25.5" x14ac:dyDescent="0.25">
      <c r="A80" s="105" t="s">
        <v>85</v>
      </c>
      <c r="B80" s="128"/>
      <c r="C80" s="97" t="s">
        <v>44</v>
      </c>
      <c r="D80" s="97" t="s">
        <v>167</v>
      </c>
      <c r="E80" s="97">
        <v>136</v>
      </c>
      <c r="F80" s="97" t="s">
        <v>110</v>
      </c>
      <c r="G80" s="97">
        <v>136</v>
      </c>
      <c r="H80" s="97" t="s">
        <v>295</v>
      </c>
      <c r="I80" s="128"/>
      <c r="J80" s="96" t="s">
        <v>688</v>
      </c>
      <c r="K80" s="96" t="s">
        <v>335</v>
      </c>
      <c r="L80" s="97"/>
      <c r="M80" s="129"/>
      <c r="N80" s="129" t="s">
        <v>15</v>
      </c>
      <c r="O80" s="129"/>
      <c r="P80" s="129"/>
      <c r="Q80" s="129"/>
      <c r="R80" s="129"/>
      <c r="S80" s="129"/>
      <c r="T80" s="129"/>
      <c r="U80" s="96" t="s">
        <v>168</v>
      </c>
      <c r="V80" s="100"/>
      <c r="W80" s="100"/>
      <c r="X80" s="100"/>
      <c r="Y80" s="100"/>
      <c r="Z80" s="100"/>
      <c r="AA80" s="100"/>
      <c r="AB80" s="100" t="s">
        <v>299</v>
      </c>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7"/>
      <c r="BC80" s="102">
        <f>IF((SUMPRODUCT(--(V80:AV80&lt;&gt;""))=0),"0",(VLOOKUP((MATCH("X",$V80:$AV80,0)), Lists!$E$13:$G$39,3)))</f>
        <v>188</v>
      </c>
      <c r="BD80" s="103">
        <f t="shared" si="2"/>
        <v>25568</v>
      </c>
      <c r="BE80" s="103" t="str">
        <f t="shared" si="3"/>
        <v>-</v>
      </c>
      <c r="BF80" s="146"/>
      <c r="BG80" s="98" t="s">
        <v>15</v>
      </c>
      <c r="BH80" s="98" t="s">
        <v>15</v>
      </c>
      <c r="BI80" s="104">
        <f>IF(ISBLANK($BG80),"-",(IF(BD80="-","-",BD80*(Lists!$K$10/100))))</f>
        <v>3835.2</v>
      </c>
      <c r="BJ80" s="104">
        <f>IF(ISBLANK($BH80),"-",(IF(BD80="-","-",BD80*(Lists!$K$11/100))))</f>
        <v>2556.8000000000002</v>
      </c>
      <c r="BK80" s="104" t="str">
        <f>IF(ISBLANK($BG80),"-",(IF(BE80="-","-",BE80*(Lists!$K$10/100))))</f>
        <v>-</v>
      </c>
      <c r="BL80" s="104" t="str">
        <f>IF(ISBLANK($BH80),"-",(IF(BE80="-","-",BE80*(Lists!$K$11/100))))</f>
        <v>-</v>
      </c>
      <c r="BM80" s="129"/>
      <c r="BN80" s="98" t="s">
        <v>15</v>
      </c>
      <c r="BO80" s="104" t="str">
        <f>IF(ISBLANK(BM80),"-",((Lists!$K$19/100)*(IF(BD80&lt;&gt;"-",BD80,BE80))))</f>
        <v>-</v>
      </c>
      <c r="BP80" s="104">
        <f>IF(ISBLANK(BN80),"-",((Lists!$K$20/100)*(IF(BD80&lt;&gt;"-",BD80,BE80))))</f>
        <v>1278.4000000000001</v>
      </c>
    </row>
    <row r="81" spans="1:68" s="147" customFormat="1" ht="63.75" x14ac:dyDescent="0.25">
      <c r="A81" s="105" t="s">
        <v>85</v>
      </c>
      <c r="B81" s="128"/>
      <c r="C81" s="97" t="s">
        <v>167</v>
      </c>
      <c r="D81" s="97" t="s">
        <v>152</v>
      </c>
      <c r="E81" s="97">
        <v>343</v>
      </c>
      <c r="F81" s="97" t="s">
        <v>110</v>
      </c>
      <c r="G81" s="97">
        <v>343</v>
      </c>
      <c r="H81" s="97" t="s">
        <v>295</v>
      </c>
      <c r="I81" s="128"/>
      <c r="J81" s="96" t="s">
        <v>689</v>
      </c>
      <c r="K81" s="96" t="s">
        <v>335</v>
      </c>
      <c r="L81" s="97"/>
      <c r="M81" s="129" t="s">
        <v>15</v>
      </c>
      <c r="N81" s="129"/>
      <c r="O81" s="129"/>
      <c r="P81" s="129"/>
      <c r="Q81" s="129"/>
      <c r="R81" s="129"/>
      <c r="S81" s="129"/>
      <c r="T81" s="129"/>
      <c r="U81" s="96" t="s">
        <v>388</v>
      </c>
      <c r="V81" s="100"/>
      <c r="W81" s="100"/>
      <c r="X81" s="100"/>
      <c r="Y81" s="100"/>
      <c r="Z81" s="100"/>
      <c r="AA81" s="100"/>
      <c r="AB81" s="100" t="s">
        <v>299</v>
      </c>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c r="BA81" s="100"/>
      <c r="BB81" s="107"/>
      <c r="BC81" s="102">
        <f>IF((SUMPRODUCT(--(V81:AV81&lt;&gt;""))=0),"0",(VLOOKUP((MATCH("X",$V81:$AV81,0)), Lists!$E$13:$G$39,3)))</f>
        <v>188</v>
      </c>
      <c r="BD81" s="103">
        <f t="shared" si="2"/>
        <v>64484</v>
      </c>
      <c r="BE81" s="103" t="str">
        <f t="shared" si="3"/>
        <v>-</v>
      </c>
      <c r="BF81" s="146"/>
      <c r="BG81" s="98" t="s">
        <v>15</v>
      </c>
      <c r="BH81" s="98" t="s">
        <v>15</v>
      </c>
      <c r="BI81" s="104">
        <f>IF(ISBLANK($BG81),"-",(IF(BD81="-","-",BD81*(Lists!$K$10/100))))</f>
        <v>9672.6</v>
      </c>
      <c r="BJ81" s="104">
        <f>IF(ISBLANK($BH81),"-",(IF(BD81="-","-",BD81*(Lists!$K$11/100))))</f>
        <v>6448.4000000000005</v>
      </c>
      <c r="BK81" s="104" t="str">
        <f>IF(ISBLANK($BG81),"-",(IF(BE81="-","-",BE81*(Lists!$K$10/100))))</f>
        <v>-</v>
      </c>
      <c r="BL81" s="104" t="str">
        <f>IF(ISBLANK($BH81),"-",(IF(BE81="-","-",BE81*(Lists!$K$11/100))))</f>
        <v>-</v>
      </c>
      <c r="BM81" s="129"/>
      <c r="BN81" s="98" t="s">
        <v>15</v>
      </c>
      <c r="BO81" s="104" t="str">
        <f>IF(ISBLANK(BM81),"-",((Lists!$K$19/100)*(IF(BD81&lt;&gt;"-",BD81,BE81))))</f>
        <v>-</v>
      </c>
      <c r="BP81" s="104">
        <f>IF(ISBLANK(BN81),"-",((Lists!$K$20/100)*(IF(BD81&lt;&gt;"-",BD81,BE81))))</f>
        <v>3224.2000000000003</v>
      </c>
    </row>
    <row r="82" spans="1:68" s="147" customFormat="1" ht="51" x14ac:dyDescent="0.25">
      <c r="A82" s="105" t="s">
        <v>85</v>
      </c>
      <c r="B82" s="128"/>
      <c r="C82" s="97" t="s">
        <v>152</v>
      </c>
      <c r="D82" s="97" t="s">
        <v>153</v>
      </c>
      <c r="E82" s="97">
        <v>250</v>
      </c>
      <c r="F82" s="97" t="s">
        <v>110</v>
      </c>
      <c r="G82" s="97">
        <v>250</v>
      </c>
      <c r="H82" s="97" t="s">
        <v>295</v>
      </c>
      <c r="I82" s="128"/>
      <c r="J82" s="96" t="s">
        <v>389</v>
      </c>
      <c r="K82" s="96" t="s">
        <v>335</v>
      </c>
      <c r="L82" s="97"/>
      <c r="M82" s="129" t="s">
        <v>15</v>
      </c>
      <c r="N82" s="129" t="s">
        <v>15</v>
      </c>
      <c r="O82" s="129"/>
      <c r="P82" s="129"/>
      <c r="Q82" s="129"/>
      <c r="R82" s="129"/>
      <c r="S82" s="129"/>
      <c r="T82" s="129"/>
      <c r="U82" s="96" t="s">
        <v>390</v>
      </c>
      <c r="V82" s="100"/>
      <c r="W82" s="100"/>
      <c r="X82" s="100"/>
      <c r="Y82" s="100"/>
      <c r="Z82" s="100"/>
      <c r="AA82" s="100"/>
      <c r="AB82" s="100"/>
      <c r="AC82" s="100"/>
      <c r="AD82" s="100"/>
      <c r="AE82" s="100" t="s">
        <v>299</v>
      </c>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7"/>
      <c r="BC82" s="102">
        <f>IF((SUMPRODUCT(--(V82:AV82&lt;&gt;""))=0),"0",(VLOOKUP((MATCH("X",$V82:$AV82,0)), Lists!$E$13:$G$39,3)))</f>
        <v>450</v>
      </c>
      <c r="BD82" s="103">
        <f t="shared" si="2"/>
        <v>112500</v>
      </c>
      <c r="BE82" s="103" t="str">
        <f t="shared" si="3"/>
        <v>-</v>
      </c>
      <c r="BF82" s="146"/>
      <c r="BG82" s="98" t="s">
        <v>15</v>
      </c>
      <c r="BH82" s="98" t="s">
        <v>15</v>
      </c>
      <c r="BI82" s="104">
        <f>IF(ISBLANK($BG82),"-",(IF(BD82="-","-",BD82*(Lists!$K$10/100))))</f>
        <v>16875</v>
      </c>
      <c r="BJ82" s="104">
        <f>IF(ISBLANK($BH82),"-",(IF(BD82="-","-",BD82*(Lists!$K$11/100))))</f>
        <v>11250</v>
      </c>
      <c r="BK82" s="104" t="str">
        <f>IF(ISBLANK($BG82),"-",(IF(BE82="-","-",BE82*(Lists!$K$10/100))))</f>
        <v>-</v>
      </c>
      <c r="BL82" s="104" t="str">
        <f>IF(ISBLANK($BH82),"-",(IF(BE82="-","-",BE82*(Lists!$K$11/100))))</f>
        <v>-</v>
      </c>
      <c r="BM82" s="129"/>
      <c r="BN82" s="98" t="s">
        <v>15</v>
      </c>
      <c r="BO82" s="104" t="str">
        <f>IF(ISBLANK(BM82),"-",((Lists!$K$19/100)*(IF(BD82&lt;&gt;"-",BD82,BE82))))</f>
        <v>-</v>
      </c>
      <c r="BP82" s="104">
        <f>IF(ISBLANK(BN82),"-",((Lists!$K$20/100)*(IF(BD82&lt;&gt;"-",BD82,BE82))))</f>
        <v>5625</v>
      </c>
    </row>
    <row r="83" spans="1:68" s="147" customFormat="1" x14ac:dyDescent="0.25">
      <c r="A83" s="105" t="s">
        <v>85</v>
      </c>
      <c r="B83" s="128"/>
      <c r="C83" s="97" t="s">
        <v>153</v>
      </c>
      <c r="D83" s="97" t="s">
        <v>110</v>
      </c>
      <c r="E83" s="97" t="s">
        <v>110</v>
      </c>
      <c r="F83" s="97" t="s">
        <v>110</v>
      </c>
      <c r="G83" s="97">
        <v>1</v>
      </c>
      <c r="H83" s="97" t="s">
        <v>294</v>
      </c>
      <c r="I83" s="128"/>
      <c r="J83" s="96" t="s">
        <v>364</v>
      </c>
      <c r="K83" s="96" t="s">
        <v>334</v>
      </c>
      <c r="L83" s="97">
        <v>30</v>
      </c>
      <c r="M83" s="129"/>
      <c r="N83" s="129"/>
      <c r="O83" s="129"/>
      <c r="P83" s="129"/>
      <c r="Q83" s="129"/>
      <c r="R83" s="129"/>
      <c r="S83" s="129"/>
      <c r="T83" s="129"/>
      <c r="U83" s="96"/>
      <c r="V83" s="100"/>
      <c r="W83" s="100" t="s">
        <v>299</v>
      </c>
      <c r="X83" s="100"/>
      <c r="Y83" s="100"/>
      <c r="Z83" s="100"/>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c r="BA83" s="100"/>
      <c r="BB83" s="107"/>
      <c r="BC83" s="102">
        <f>IF((SUMPRODUCT(--(V83:AV83&lt;&gt;""))=0),"0",(VLOOKUP((MATCH("X",$V83:$AV83,0)), Lists!$E$13:$G$39,3)))</f>
        <v>96500</v>
      </c>
      <c r="BD83" s="103">
        <f t="shared" si="2"/>
        <v>96500</v>
      </c>
      <c r="BE83" s="103" t="str">
        <f t="shared" si="3"/>
        <v>-</v>
      </c>
      <c r="BF83" s="146"/>
      <c r="BG83" s="98" t="s">
        <v>15</v>
      </c>
      <c r="BH83" s="98"/>
      <c r="BI83" s="104">
        <f>IF(ISBLANK($BG83),"-",(IF(BD83="-","-",BD83*(Lists!$K$10/100))))</f>
        <v>14475</v>
      </c>
      <c r="BJ83" s="104" t="str">
        <f>IF(ISBLANK($BH83),"-",(IF(BD83="-","-",BD83*(Lists!$K$11/100))))</f>
        <v>-</v>
      </c>
      <c r="BK83" s="104" t="str">
        <f>IF(ISBLANK($BG83),"-",(IF(BE83="-","-",BE83*(Lists!$K$10/100))))</f>
        <v>-</v>
      </c>
      <c r="BL83" s="104" t="str">
        <f>IF(ISBLANK($BH83),"-",(IF(BE83="-","-",BE83*(Lists!$K$11/100))))</f>
        <v>-</v>
      </c>
      <c r="BM83" s="129"/>
      <c r="BN83" s="129"/>
      <c r="BO83" s="104" t="str">
        <f>IF(ISBLANK(BM83),"-",((Lists!$K$19/100)*(IF(BD83&lt;&gt;"-",BD83,BE83))))</f>
        <v>-</v>
      </c>
      <c r="BP83" s="104" t="str">
        <f>IF(ISBLANK(BN83),"-",((Lists!$K$20/100)*(IF(BD83&lt;&gt;"-",BD83,BE83))))</f>
        <v>-</v>
      </c>
    </row>
    <row r="84" spans="1:68" s="147" customFormat="1" ht="63.75" x14ac:dyDescent="0.25">
      <c r="A84" s="105" t="s">
        <v>85</v>
      </c>
      <c r="B84" s="128"/>
      <c r="C84" s="97" t="s">
        <v>153</v>
      </c>
      <c r="D84" s="97" t="s">
        <v>45</v>
      </c>
      <c r="E84" s="97">
        <v>312</v>
      </c>
      <c r="F84" s="97" t="s">
        <v>110</v>
      </c>
      <c r="G84" s="97">
        <v>312</v>
      </c>
      <c r="H84" s="97" t="s">
        <v>295</v>
      </c>
      <c r="I84" s="128"/>
      <c r="J84" s="96" t="s">
        <v>690</v>
      </c>
      <c r="K84" s="96" t="s">
        <v>335</v>
      </c>
      <c r="L84" s="97"/>
      <c r="M84" s="129" t="s">
        <v>15</v>
      </c>
      <c r="N84" s="129"/>
      <c r="O84" s="129"/>
      <c r="P84" s="129"/>
      <c r="Q84" s="129" t="s">
        <v>15</v>
      </c>
      <c r="R84" s="129"/>
      <c r="S84" s="129"/>
      <c r="T84" s="129"/>
      <c r="U84" s="96" t="s">
        <v>490</v>
      </c>
      <c r="V84" s="100"/>
      <c r="W84" s="100"/>
      <c r="X84" s="100"/>
      <c r="Y84" s="100"/>
      <c r="Z84" s="100"/>
      <c r="AA84" s="100"/>
      <c r="AB84" s="100" t="s">
        <v>299</v>
      </c>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7"/>
      <c r="BC84" s="102">
        <f>IF((SUMPRODUCT(--(V84:AV84&lt;&gt;""))=0),"0",(VLOOKUP((MATCH("X",$V84:$AV84,0)), Lists!$E$13:$G$39,3)))</f>
        <v>188</v>
      </c>
      <c r="BD84" s="103">
        <f t="shared" si="2"/>
        <v>58656</v>
      </c>
      <c r="BE84" s="103" t="str">
        <f t="shared" si="3"/>
        <v>-</v>
      </c>
      <c r="BF84" s="146"/>
      <c r="BG84" s="98" t="s">
        <v>15</v>
      </c>
      <c r="BH84" s="98" t="s">
        <v>15</v>
      </c>
      <c r="BI84" s="104">
        <f>IF(ISBLANK($BG84),"-",(IF(BD84="-","-",BD84*(Lists!$K$10/100))))</f>
        <v>8798.4</v>
      </c>
      <c r="BJ84" s="104">
        <f>IF(ISBLANK($BH84),"-",(IF(BD84="-","-",BD84*(Lists!$K$11/100))))</f>
        <v>5865.6</v>
      </c>
      <c r="BK84" s="104" t="str">
        <f>IF(ISBLANK($BG84),"-",(IF(BE84="-","-",BE84*(Lists!$K$10/100))))</f>
        <v>-</v>
      </c>
      <c r="BL84" s="104" t="str">
        <f>IF(ISBLANK($BH84),"-",(IF(BE84="-","-",BE84*(Lists!$K$11/100))))</f>
        <v>-</v>
      </c>
      <c r="BM84" s="129"/>
      <c r="BN84" s="98" t="s">
        <v>15</v>
      </c>
      <c r="BO84" s="104" t="str">
        <f>IF(ISBLANK(BM84),"-",((Lists!$K$19/100)*(IF(BD84&lt;&gt;"-",BD84,BE84))))</f>
        <v>-</v>
      </c>
      <c r="BP84" s="104">
        <f>IF(ISBLANK(BN84),"-",((Lists!$K$20/100)*(IF(BD84&lt;&gt;"-",BD84,BE84))))</f>
        <v>2932.8</v>
      </c>
    </row>
    <row r="85" spans="1:68" s="155" customFormat="1" ht="25.5" x14ac:dyDescent="0.25">
      <c r="A85" s="116" t="s">
        <v>85</v>
      </c>
      <c r="B85" s="154"/>
      <c r="C85" s="162" t="s">
        <v>45</v>
      </c>
      <c r="D85" s="162" t="s">
        <v>155</v>
      </c>
      <c r="E85" s="162">
        <v>222</v>
      </c>
      <c r="F85" s="162" t="s">
        <v>110</v>
      </c>
      <c r="G85" s="162">
        <v>222</v>
      </c>
      <c r="H85" s="162" t="s">
        <v>295</v>
      </c>
      <c r="I85" s="154"/>
      <c r="J85" s="163" t="s">
        <v>354</v>
      </c>
      <c r="K85" s="112" t="s">
        <v>338</v>
      </c>
      <c r="L85" s="110"/>
      <c r="M85" s="164"/>
      <c r="N85" s="113"/>
      <c r="O85" s="113"/>
      <c r="P85" s="164"/>
      <c r="Q85" s="164"/>
      <c r="R85" s="164"/>
      <c r="S85" s="113"/>
      <c r="T85" s="164"/>
      <c r="U85" s="112" t="s">
        <v>355</v>
      </c>
      <c r="V85" s="114"/>
      <c r="W85" s="114"/>
      <c r="X85" s="114"/>
      <c r="Y85" s="114"/>
      <c r="Z85" s="114"/>
      <c r="AA85" s="114"/>
      <c r="AB85" s="114"/>
      <c r="AC85" s="114"/>
      <c r="AD85" s="114"/>
      <c r="AE85" s="114"/>
      <c r="AF85" s="114"/>
      <c r="AG85" s="114"/>
      <c r="AH85" s="114"/>
      <c r="AI85" s="114"/>
      <c r="AJ85" s="114"/>
      <c r="AK85" s="114"/>
      <c r="AL85" s="114"/>
      <c r="AM85" s="114"/>
      <c r="AN85" s="114"/>
      <c r="AO85" s="114"/>
      <c r="AP85" s="114"/>
      <c r="AQ85" s="114"/>
      <c r="AR85" s="114"/>
      <c r="AS85" s="114"/>
      <c r="AT85" s="114"/>
      <c r="AU85" s="114"/>
      <c r="AV85" s="114"/>
      <c r="AW85" s="114"/>
      <c r="AX85" s="114"/>
      <c r="AY85" s="114"/>
      <c r="AZ85" s="114"/>
      <c r="BA85" s="114"/>
      <c r="BB85" s="115"/>
      <c r="BC85" s="102" t="str">
        <f>IF((SUMPRODUCT(--(V85:AV85&lt;&gt;""))=0),"0",(VLOOKUP((MATCH("X",$V85:$AV85,0)), Lists!$E$13:$G$39,3)))</f>
        <v>0</v>
      </c>
      <c r="BD85" s="103">
        <f t="shared" si="2"/>
        <v>0</v>
      </c>
      <c r="BE85" s="103" t="str">
        <f t="shared" si="3"/>
        <v>-</v>
      </c>
      <c r="BF85" s="154"/>
      <c r="BG85" s="113"/>
      <c r="BH85" s="113"/>
      <c r="BI85" s="117" t="str">
        <f>IF(ISBLANK($BG85),"-",(IF(BD85="-","-",BD85*(Lists!$K$10/100))))</f>
        <v>-</v>
      </c>
      <c r="BJ85" s="117" t="str">
        <f>IF(ISBLANK($BH85),"-",(IF(BD85="-","-",BD85*(Lists!$K$11/100))))</f>
        <v>-</v>
      </c>
      <c r="BK85" s="117" t="str">
        <f>IF(ISBLANK($BG85),"-",(IF(BE85="-","-",BE85*(Lists!$K$10/100))))</f>
        <v>-</v>
      </c>
      <c r="BL85" s="117" t="str">
        <f>IF(ISBLANK($BH85),"-",(IF(BE85="-","-",BE85*(Lists!$K$11/100))))</f>
        <v>-</v>
      </c>
      <c r="BM85" s="164"/>
      <c r="BN85" s="164"/>
      <c r="BO85" s="117" t="str">
        <f>IF(ISBLANK(BM85),"-",((Lists!$K$19/100)*(IF(BD85&lt;&gt;"-",BD85,BE85))))</f>
        <v>-</v>
      </c>
      <c r="BP85" s="117" t="str">
        <f>IF(ISBLANK(BN85),"-",((Lists!$K$20/100)*(IF(BD85&lt;&gt;"-",BD85,BE85))))</f>
        <v>-</v>
      </c>
    </row>
    <row r="86" spans="1:68" s="147" customFormat="1" ht="25.5" x14ac:dyDescent="0.25">
      <c r="A86" s="105" t="s">
        <v>85</v>
      </c>
      <c r="B86" s="128"/>
      <c r="C86" s="97" t="s">
        <v>155</v>
      </c>
      <c r="D86" s="97" t="s">
        <v>46</v>
      </c>
      <c r="E86" s="97">
        <v>60</v>
      </c>
      <c r="F86" s="97" t="s">
        <v>110</v>
      </c>
      <c r="G86" s="97">
        <v>120</v>
      </c>
      <c r="H86" s="97" t="s">
        <v>295</v>
      </c>
      <c r="I86" s="128"/>
      <c r="J86" s="96" t="s">
        <v>365</v>
      </c>
      <c r="K86" s="96" t="s">
        <v>334</v>
      </c>
      <c r="L86" s="97">
        <v>30</v>
      </c>
      <c r="M86" s="129"/>
      <c r="N86" s="129"/>
      <c r="O86" s="129"/>
      <c r="P86" s="129"/>
      <c r="Q86" s="129"/>
      <c r="R86" s="129"/>
      <c r="S86" s="129"/>
      <c r="T86" s="129"/>
      <c r="U86" s="165" t="s">
        <v>493</v>
      </c>
      <c r="V86" s="100"/>
      <c r="W86" s="100"/>
      <c r="X86" s="100"/>
      <c r="Y86" s="100"/>
      <c r="Z86" s="100"/>
      <c r="AA86" s="100"/>
      <c r="AB86" s="100"/>
      <c r="AC86" s="100"/>
      <c r="AD86" s="100"/>
      <c r="AE86" s="100"/>
      <c r="AF86" s="100"/>
      <c r="AG86" s="100"/>
      <c r="AH86" s="100"/>
      <c r="AI86" s="100"/>
      <c r="AJ86" s="100"/>
      <c r="AK86" s="100"/>
      <c r="AL86" s="100"/>
      <c r="AM86" s="100"/>
      <c r="AN86" s="100"/>
      <c r="AO86" s="100" t="s">
        <v>299</v>
      </c>
      <c r="AP86" s="100"/>
      <c r="AQ86" s="100"/>
      <c r="AR86" s="100"/>
      <c r="AS86" s="100"/>
      <c r="AT86" s="100"/>
      <c r="AU86" s="100"/>
      <c r="AV86" s="100"/>
      <c r="AW86" s="100"/>
      <c r="AX86" s="100"/>
      <c r="AY86" s="100"/>
      <c r="AZ86" s="100"/>
      <c r="BA86" s="100"/>
      <c r="BB86" s="107"/>
      <c r="BC86" s="102">
        <f>IF((SUMPRODUCT(--(V86:AV86&lt;&gt;""))=0),"0",(VLOOKUP((MATCH("X",$V86:$AV86,0)), Lists!$E$13:$G$39,3)))</f>
        <v>242</v>
      </c>
      <c r="BD86" s="103">
        <f t="shared" si="2"/>
        <v>29040</v>
      </c>
      <c r="BE86" s="103" t="str">
        <f t="shared" si="3"/>
        <v>-</v>
      </c>
      <c r="BF86" s="146"/>
      <c r="BG86" s="132" t="s">
        <v>15</v>
      </c>
      <c r="BH86" s="98"/>
      <c r="BI86" s="104">
        <f>IF(ISBLANK($BG86),"-",(IF(BD86="-","-",BD86*(Lists!$K$10/100))))</f>
        <v>4356</v>
      </c>
      <c r="BJ86" s="104" t="str">
        <f>IF(ISBLANK($BH86),"-",(IF(BD86="-","-",BD86*(Lists!$K$11/100))))</f>
        <v>-</v>
      </c>
      <c r="BK86" s="104" t="str">
        <f>IF(ISBLANK($BG86),"-",(IF(BE86="-","-",BE86*(Lists!$K$10/100))))</f>
        <v>-</v>
      </c>
      <c r="BL86" s="104" t="str">
        <f>IF(ISBLANK($BH86),"-",(IF(BE86="-","-",BE86*(Lists!$K$11/100))))</f>
        <v>-</v>
      </c>
      <c r="BM86" s="129"/>
      <c r="BN86" s="129"/>
      <c r="BO86" s="104" t="str">
        <f>IF(ISBLANK(BM86),"-",((Lists!$K$19/100)*(IF(BD86&lt;&gt;"-",BD86,BE86))))</f>
        <v>-</v>
      </c>
      <c r="BP86" s="104" t="str">
        <f>IF(ISBLANK(BN86),"-",((Lists!$K$20/100)*(IF(BD86&lt;&gt;"-",BD86,BE86))))</f>
        <v>-</v>
      </c>
    </row>
    <row r="87" spans="1:68" s="147" customFormat="1" ht="27.75" customHeight="1" x14ac:dyDescent="0.25">
      <c r="A87" s="130" t="s">
        <v>85</v>
      </c>
      <c r="B87" s="128"/>
      <c r="C87" s="307" t="s">
        <v>46</v>
      </c>
      <c r="D87" s="307" t="s">
        <v>154</v>
      </c>
      <c r="E87" s="307">
        <v>229</v>
      </c>
      <c r="F87" s="307">
        <v>4</v>
      </c>
      <c r="G87" s="97">
        <f>E87*F87</f>
        <v>916</v>
      </c>
      <c r="H87" s="97" t="s">
        <v>300</v>
      </c>
      <c r="I87" s="128"/>
      <c r="J87" s="96" t="s">
        <v>366</v>
      </c>
      <c r="K87" s="314" t="s">
        <v>682</v>
      </c>
      <c r="L87" s="307"/>
      <c r="M87" s="305"/>
      <c r="N87" s="305" t="s">
        <v>15</v>
      </c>
      <c r="O87" s="305"/>
      <c r="P87" s="305"/>
      <c r="Q87" s="305"/>
      <c r="R87" s="305"/>
      <c r="S87" s="305"/>
      <c r="T87" s="305"/>
      <c r="U87" s="314" t="s">
        <v>699</v>
      </c>
      <c r="V87" s="100"/>
      <c r="W87" s="100"/>
      <c r="X87" s="100"/>
      <c r="Y87" s="100"/>
      <c r="Z87" s="100"/>
      <c r="AA87" s="100"/>
      <c r="AB87" s="100"/>
      <c r="AC87" s="100"/>
      <c r="AD87" s="100"/>
      <c r="AE87" s="100"/>
      <c r="AF87" s="100"/>
      <c r="AG87" s="100"/>
      <c r="AH87" s="100"/>
      <c r="AI87" s="100" t="s">
        <v>299</v>
      </c>
      <c r="AJ87" s="100"/>
      <c r="AK87" s="100"/>
      <c r="AL87" s="100"/>
      <c r="AM87" s="100"/>
      <c r="AN87" s="100"/>
      <c r="AO87" s="100"/>
      <c r="AP87" s="100"/>
      <c r="AQ87" s="100"/>
      <c r="AR87" s="100"/>
      <c r="AS87" s="100"/>
      <c r="AT87" s="100"/>
      <c r="AU87" s="100"/>
      <c r="AV87" s="100"/>
      <c r="AW87" s="100"/>
      <c r="AX87" s="100"/>
      <c r="AY87" s="100"/>
      <c r="AZ87" s="100"/>
      <c r="BA87" s="100"/>
      <c r="BB87" s="107"/>
      <c r="BC87" s="102">
        <f>IF((SUMPRODUCT(--(V87:AV87&lt;&gt;""))=0),"0",(VLOOKUP((MATCH("X",$V87:$AV87,0)), Lists!$E$13:$G$39,3)))</f>
        <v>65</v>
      </c>
      <c r="BD87" s="103">
        <f t="shared" si="2"/>
        <v>59540</v>
      </c>
      <c r="BE87" s="103" t="str">
        <f t="shared" si="3"/>
        <v>-</v>
      </c>
      <c r="BF87" s="146"/>
      <c r="BG87" s="132" t="s">
        <v>15</v>
      </c>
      <c r="BH87" s="132" t="s">
        <v>15</v>
      </c>
      <c r="BI87" s="104">
        <f>IF(ISBLANK($BG87),"-",(IF(BD87="-","-",BD87*(Lists!$K$10/100))))</f>
        <v>8931</v>
      </c>
      <c r="BJ87" s="104">
        <f>IF(ISBLANK($BH87),"-",(IF(BD87="-","-",BD87*(Lists!$K$11/100))))</f>
        <v>5954</v>
      </c>
      <c r="BK87" s="104" t="str">
        <f>IF(ISBLANK($BG87),"-",(IF(BE87="-","-",BE87*(Lists!$K$10/100))))</f>
        <v>-</v>
      </c>
      <c r="BL87" s="104" t="str">
        <f>IF(ISBLANK($BH87),"-",(IF(BE87="-","-",BE87*(Lists!$K$11/100))))</f>
        <v>-</v>
      </c>
      <c r="BM87" s="133"/>
      <c r="BN87" s="98" t="s">
        <v>15</v>
      </c>
      <c r="BO87" s="104" t="str">
        <f>IF(ISBLANK(BM87),"-",((Lists!$K$19/100)*(IF(BD87&lt;&gt;"-",BD87,BE87))))</f>
        <v>-</v>
      </c>
      <c r="BP87" s="104">
        <f>IF(ISBLANK(BN87),"-",((Lists!$K$20/100)*(IF(BD87&lt;&gt;"-",BD87,BE87))))</f>
        <v>2977</v>
      </c>
    </row>
    <row r="88" spans="1:68" s="147" customFormat="1" ht="27.75" customHeight="1" x14ac:dyDescent="0.25">
      <c r="A88" s="130" t="s">
        <v>85</v>
      </c>
      <c r="B88" s="130"/>
      <c r="C88" s="312"/>
      <c r="D88" s="312"/>
      <c r="E88" s="312"/>
      <c r="F88" s="312"/>
      <c r="G88" s="150">
        <v>229</v>
      </c>
      <c r="H88" s="150" t="s">
        <v>295</v>
      </c>
      <c r="I88" s="130"/>
      <c r="J88" s="96" t="s">
        <v>496</v>
      </c>
      <c r="K88" s="316"/>
      <c r="L88" s="317"/>
      <c r="M88" s="306"/>
      <c r="N88" s="306"/>
      <c r="O88" s="306"/>
      <c r="P88" s="306"/>
      <c r="Q88" s="306"/>
      <c r="R88" s="306"/>
      <c r="S88" s="306"/>
      <c r="T88" s="306"/>
      <c r="U88" s="317"/>
      <c r="V88" s="100"/>
      <c r="W88" s="100"/>
      <c r="X88" s="100"/>
      <c r="Y88" s="100"/>
      <c r="Z88" s="100"/>
      <c r="AA88" s="100"/>
      <c r="AB88" s="100"/>
      <c r="AC88" s="100"/>
      <c r="AD88" s="100"/>
      <c r="AE88" s="100"/>
      <c r="AF88" s="100"/>
      <c r="AG88" s="100"/>
      <c r="AH88" s="100"/>
      <c r="AI88" s="100"/>
      <c r="AJ88" s="100"/>
      <c r="AK88" s="100"/>
      <c r="AL88" s="100"/>
      <c r="AM88" s="100" t="s">
        <v>299</v>
      </c>
      <c r="AN88" s="100"/>
      <c r="AO88" s="100"/>
      <c r="AP88" s="100"/>
      <c r="AQ88" s="100"/>
      <c r="AR88" s="100"/>
      <c r="AS88" s="100"/>
      <c r="AT88" s="100"/>
      <c r="AU88" s="100"/>
      <c r="AV88" s="100"/>
      <c r="AW88" s="100"/>
      <c r="AX88" s="100"/>
      <c r="AY88" s="100"/>
      <c r="AZ88" s="100"/>
      <c r="BA88" s="100"/>
      <c r="BB88" s="107"/>
      <c r="BC88" s="102">
        <f>IF((SUMPRODUCT(--(V88:AV88&lt;&gt;""))=0),"0",(VLOOKUP((MATCH("X",$V88:$AV88,0)), Lists!$E$13:$G$39,3)))</f>
        <v>50</v>
      </c>
      <c r="BD88" s="103">
        <f t="shared" si="2"/>
        <v>11450</v>
      </c>
      <c r="BE88" s="103" t="str">
        <f t="shared" si="3"/>
        <v>-</v>
      </c>
      <c r="BF88" s="146"/>
      <c r="BG88" s="132" t="s">
        <v>15</v>
      </c>
      <c r="BH88" s="132" t="s">
        <v>15</v>
      </c>
      <c r="BI88" s="104">
        <f>IF(ISBLANK($BG88),"-",(IF(BD88="-","-",BD88*(Lists!$K$10/100))))</f>
        <v>1717.5</v>
      </c>
      <c r="BJ88" s="104">
        <f>IF(ISBLANK($BH88),"-",(IF(BD88="-","-",BD88*(Lists!$K$11/100))))</f>
        <v>1145</v>
      </c>
      <c r="BK88" s="104" t="str">
        <f>IF(ISBLANK($BG88),"-",(IF(BE88="-","-",BE88*(Lists!$K$10/100))))</f>
        <v>-</v>
      </c>
      <c r="BL88" s="104" t="str">
        <f>IF(ISBLANK($BH88),"-",(IF(BE88="-","-",BE88*(Lists!$K$11/100))))</f>
        <v>-</v>
      </c>
      <c r="BM88" s="140"/>
      <c r="BN88" s="98" t="s">
        <v>15</v>
      </c>
      <c r="BO88" s="104" t="str">
        <f>IF(ISBLANK(BM88),"-",((Lists!$K$19/100)*(IF(BD88&lt;&gt;"-",BD88,BE88))))</f>
        <v>-</v>
      </c>
      <c r="BP88" s="104">
        <f>IF(ISBLANK(BN88),"-",((Lists!$K$20/100)*(IF(BD88&lt;&gt;"-",BD88,BE88))))</f>
        <v>572.5</v>
      </c>
    </row>
    <row r="89" spans="1:68" ht="25.5" x14ac:dyDescent="0.25">
      <c r="A89" s="130" t="s">
        <v>85</v>
      </c>
      <c r="B89" s="130"/>
      <c r="C89" s="307" t="s">
        <v>154</v>
      </c>
      <c r="D89" s="307" t="s">
        <v>162</v>
      </c>
      <c r="E89" s="307">
        <v>235</v>
      </c>
      <c r="F89" s="307" t="s">
        <v>110</v>
      </c>
      <c r="G89" s="150">
        <v>235</v>
      </c>
      <c r="H89" s="150" t="s">
        <v>295</v>
      </c>
      <c r="I89" s="302"/>
      <c r="J89" s="96" t="s">
        <v>707</v>
      </c>
      <c r="K89" s="314" t="s">
        <v>682</v>
      </c>
      <c r="L89" s="307"/>
      <c r="M89" s="320" t="s">
        <v>15</v>
      </c>
      <c r="N89" s="320" t="s">
        <v>15</v>
      </c>
      <c r="O89" s="305"/>
      <c r="P89" s="305"/>
      <c r="Q89" s="320"/>
      <c r="R89" s="305"/>
      <c r="S89" s="305"/>
      <c r="T89" s="320" t="s">
        <v>15</v>
      </c>
      <c r="U89" s="314" t="s">
        <v>368</v>
      </c>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00" t="s">
        <v>299</v>
      </c>
      <c r="AS89" s="100"/>
      <c r="AT89" s="100"/>
      <c r="AU89" s="100"/>
      <c r="AV89" s="100"/>
      <c r="AW89" s="100"/>
      <c r="AX89" s="100"/>
      <c r="AY89" s="100"/>
      <c r="AZ89" s="100"/>
      <c r="BA89" s="100"/>
      <c r="BB89" s="107"/>
      <c r="BC89" s="102">
        <f>IF((SUMPRODUCT(--(V89:AV89&lt;&gt;""))=0),"0",(VLOOKUP((MATCH("X",$V89:$AV89,0)), Lists!$E$13:$G$39,3)))</f>
        <v>510</v>
      </c>
      <c r="BD89" s="103">
        <f t="shared" si="2"/>
        <v>119850</v>
      </c>
      <c r="BE89" s="103" t="str">
        <f t="shared" si="3"/>
        <v>-</v>
      </c>
      <c r="BF89" s="82"/>
      <c r="BG89" s="132" t="s">
        <v>15</v>
      </c>
      <c r="BH89" s="132" t="s">
        <v>15</v>
      </c>
      <c r="BI89" s="104">
        <f>IF(ISBLANK($BG89),"-",(IF(BD89="-","-",BD89*(Lists!$K$10/100))))</f>
        <v>17977.5</v>
      </c>
      <c r="BJ89" s="104">
        <f>IF(ISBLANK($BH89),"-",(IF(BD89="-","-",BD89*(Lists!$K$11/100))))</f>
        <v>11985</v>
      </c>
      <c r="BK89" s="104" t="str">
        <f>IF(ISBLANK($BG89),"-",(IF(BE89="-","-",BE89*(Lists!$K$10/100))))</f>
        <v>-</v>
      </c>
      <c r="BL89" s="104" t="str">
        <f>IF(ISBLANK($BH89),"-",(IF(BE89="-","-",BE89*(Lists!$K$11/100))))</f>
        <v>-</v>
      </c>
      <c r="BM89" s="133"/>
      <c r="BN89" s="98" t="s">
        <v>15</v>
      </c>
      <c r="BO89" s="104" t="str">
        <f>IF(ISBLANK(BM89),"-",((Lists!$K$19/100)*(IF(BD89&lt;&gt;"-",BD89,BE89))))</f>
        <v>-</v>
      </c>
      <c r="BP89" s="104">
        <f>IF(ISBLANK(BN89),"-",((Lists!$K$20/100)*(IF(BD89&lt;&gt;"-",BD89,BE89))))</f>
        <v>5992.5</v>
      </c>
    </row>
    <row r="90" spans="1:68" x14ac:dyDescent="0.25">
      <c r="A90" s="130" t="s">
        <v>85</v>
      </c>
      <c r="B90" s="149"/>
      <c r="C90" s="313"/>
      <c r="D90" s="313"/>
      <c r="E90" s="313"/>
      <c r="F90" s="313"/>
      <c r="G90" s="150">
        <v>235</v>
      </c>
      <c r="H90" s="150" t="s">
        <v>295</v>
      </c>
      <c r="I90" s="303"/>
      <c r="J90" s="96" t="s">
        <v>495</v>
      </c>
      <c r="K90" s="335"/>
      <c r="L90" s="313"/>
      <c r="M90" s="321"/>
      <c r="N90" s="321"/>
      <c r="O90" s="329"/>
      <c r="P90" s="329"/>
      <c r="Q90" s="321"/>
      <c r="R90" s="329"/>
      <c r="S90" s="329"/>
      <c r="T90" s="321"/>
      <c r="U90" s="315"/>
      <c r="V90" s="100"/>
      <c r="W90" s="100"/>
      <c r="X90" s="100"/>
      <c r="Y90" s="100"/>
      <c r="Z90" s="100"/>
      <c r="AA90" s="100"/>
      <c r="AB90" s="100"/>
      <c r="AC90" s="100"/>
      <c r="AD90" s="100"/>
      <c r="AE90" s="100"/>
      <c r="AF90" s="100"/>
      <c r="AG90" s="100"/>
      <c r="AH90" s="100"/>
      <c r="AI90" s="100"/>
      <c r="AJ90" s="100"/>
      <c r="AK90" s="100"/>
      <c r="AL90" s="100"/>
      <c r="AM90" s="100" t="s">
        <v>299</v>
      </c>
      <c r="AN90" s="100"/>
      <c r="AO90" s="100"/>
      <c r="AP90" s="100"/>
      <c r="AQ90" s="100"/>
      <c r="AR90" s="100"/>
      <c r="AS90" s="100"/>
      <c r="AT90" s="100"/>
      <c r="AU90" s="100"/>
      <c r="AV90" s="100"/>
      <c r="AW90" s="100"/>
      <c r="AX90" s="100"/>
      <c r="AY90" s="100"/>
      <c r="AZ90" s="100"/>
      <c r="BA90" s="100"/>
      <c r="BB90" s="107"/>
      <c r="BC90" s="102">
        <f>IF((SUMPRODUCT(--(V90:AV90&lt;&gt;""))=0),"0",(VLOOKUP((MATCH("X",$V90:$AV90,0)), Lists!$E$13:$G$39,3)))</f>
        <v>50</v>
      </c>
      <c r="BD90" s="103">
        <f t="shared" si="2"/>
        <v>11750</v>
      </c>
      <c r="BE90" s="103" t="str">
        <f t="shared" si="3"/>
        <v>-</v>
      </c>
      <c r="BF90" s="82"/>
      <c r="BG90" s="132" t="s">
        <v>15</v>
      </c>
      <c r="BH90" s="132" t="s">
        <v>15</v>
      </c>
      <c r="BI90" s="104">
        <f>IF(ISBLANK($BG90),"-",(IF(BD90="-","-",BD90*(Lists!$K$10/100))))</f>
        <v>1762.5</v>
      </c>
      <c r="BJ90" s="104">
        <f>IF(ISBLANK($BH90),"-",(IF(BD90="-","-",BD90*(Lists!$K$11/100))))</f>
        <v>1175</v>
      </c>
      <c r="BK90" s="104" t="str">
        <f>IF(ISBLANK($BG90),"-",(IF(BE90="-","-",BE90*(Lists!$K$10/100))))</f>
        <v>-</v>
      </c>
      <c r="BL90" s="104" t="str">
        <f>IF(ISBLANK($BH90),"-",(IF(BE90="-","-",BE90*(Lists!$K$11/100))))</f>
        <v>-</v>
      </c>
      <c r="BM90" s="144"/>
      <c r="BN90" s="98" t="s">
        <v>15</v>
      </c>
      <c r="BO90" s="104" t="str">
        <f>IF(ISBLANK(BM90),"-",((Lists!$K$19/100)*(IF(BD90&lt;&gt;"-",BD90,BE90))))</f>
        <v>-</v>
      </c>
      <c r="BP90" s="104">
        <f>IF(ISBLANK(BN90),"-",((Lists!$K$20/100)*(IF(BD90&lt;&gt;"-",BD90,BE90))))</f>
        <v>587.5</v>
      </c>
    </row>
    <row r="91" spans="1:68" x14ac:dyDescent="0.25">
      <c r="A91" s="130" t="s">
        <v>85</v>
      </c>
      <c r="B91" s="131"/>
      <c r="C91" s="308"/>
      <c r="D91" s="308"/>
      <c r="E91" s="308"/>
      <c r="F91" s="308"/>
      <c r="G91" s="150">
        <v>235</v>
      </c>
      <c r="H91" s="150" t="s">
        <v>295</v>
      </c>
      <c r="I91" s="304"/>
      <c r="J91" s="96" t="s">
        <v>367</v>
      </c>
      <c r="K91" s="316"/>
      <c r="L91" s="304"/>
      <c r="M91" s="327"/>
      <c r="N91" s="327"/>
      <c r="O91" s="306"/>
      <c r="P91" s="306"/>
      <c r="Q91" s="327"/>
      <c r="R91" s="306"/>
      <c r="S91" s="306"/>
      <c r="T91" s="327"/>
      <c r="U91" s="304"/>
      <c r="V91" s="100"/>
      <c r="W91" s="100"/>
      <c r="X91" s="100"/>
      <c r="Y91" s="100"/>
      <c r="Z91" s="100"/>
      <c r="AA91" s="100"/>
      <c r="AB91" s="100"/>
      <c r="AC91" s="100"/>
      <c r="AD91" s="100"/>
      <c r="AE91" s="100"/>
      <c r="AF91" s="100"/>
      <c r="AG91" s="100"/>
      <c r="AH91" s="100"/>
      <c r="AI91" s="100"/>
      <c r="AJ91" s="100" t="s">
        <v>299</v>
      </c>
      <c r="AK91" s="100"/>
      <c r="AL91" s="100"/>
      <c r="AM91" s="100"/>
      <c r="AN91" s="100"/>
      <c r="AO91" s="100"/>
      <c r="AP91" s="100"/>
      <c r="AQ91" s="100"/>
      <c r="AR91" s="100"/>
      <c r="AS91" s="100"/>
      <c r="AT91" s="100"/>
      <c r="AU91" s="100"/>
      <c r="AV91" s="100"/>
      <c r="AW91" s="100"/>
      <c r="AX91" s="100"/>
      <c r="AY91" s="100"/>
      <c r="AZ91" s="100"/>
      <c r="BA91" s="100"/>
      <c r="BB91" s="107"/>
      <c r="BC91" s="102">
        <f>IF((SUMPRODUCT(--(V91:AV91&lt;&gt;""))=0),"0",(VLOOKUP((MATCH("X",$V91:$AV91,0)), Lists!$E$13:$G$39,3)))</f>
        <v>36</v>
      </c>
      <c r="BD91" s="103">
        <f t="shared" si="2"/>
        <v>8460</v>
      </c>
      <c r="BE91" s="103" t="str">
        <f t="shared" si="3"/>
        <v>-</v>
      </c>
      <c r="BF91" s="82"/>
      <c r="BG91" s="132" t="s">
        <v>15</v>
      </c>
      <c r="BH91" s="132" t="s">
        <v>15</v>
      </c>
      <c r="BI91" s="104">
        <f>IF(ISBLANK($BG91),"-",(IF(BD91="-","-",BD91*(Lists!$K$10/100))))</f>
        <v>1269</v>
      </c>
      <c r="BJ91" s="104">
        <f>IF(ISBLANK($BH91),"-",(IF(BD91="-","-",BD91*(Lists!$K$11/100))))</f>
        <v>846</v>
      </c>
      <c r="BK91" s="104" t="str">
        <f>IF(ISBLANK($BG91),"-",(IF(BE91="-","-",BE91*(Lists!$K$10/100))))</f>
        <v>-</v>
      </c>
      <c r="BL91" s="104" t="str">
        <f>IF(ISBLANK($BH91),"-",(IF(BE91="-","-",BE91*(Lists!$K$11/100))))</f>
        <v>-</v>
      </c>
      <c r="BM91" s="142"/>
      <c r="BN91" s="98" t="s">
        <v>15</v>
      </c>
      <c r="BO91" s="104" t="str">
        <f>IF(ISBLANK(BM91),"-",((Lists!$K$19/100)*(IF(BD91&lt;&gt;"-",BD91,BE91))))</f>
        <v>-</v>
      </c>
      <c r="BP91" s="104">
        <f>IF(ISBLANK(BN91),"-",((Lists!$K$20/100)*(IF(BD91&lt;&gt;"-",BD91,BE91))))</f>
        <v>423</v>
      </c>
    </row>
    <row r="92" spans="1:68" ht="28.5" customHeight="1" x14ac:dyDescent="0.25">
      <c r="A92" s="128" t="s">
        <v>85</v>
      </c>
      <c r="B92" s="130"/>
      <c r="C92" s="309" t="s">
        <v>162</v>
      </c>
      <c r="D92" s="309" t="s">
        <v>163</v>
      </c>
      <c r="E92" s="307">
        <v>222</v>
      </c>
      <c r="F92" s="97" t="s">
        <v>110</v>
      </c>
      <c r="G92" s="97">
        <v>222</v>
      </c>
      <c r="H92" s="97" t="s">
        <v>295</v>
      </c>
      <c r="I92" s="128"/>
      <c r="J92" s="96" t="s">
        <v>370</v>
      </c>
      <c r="K92" s="314" t="s">
        <v>682</v>
      </c>
      <c r="L92" s="307"/>
      <c r="M92" s="305" t="s">
        <v>15</v>
      </c>
      <c r="N92" s="305" t="s">
        <v>15</v>
      </c>
      <c r="O92" s="305"/>
      <c r="P92" s="305"/>
      <c r="Q92" s="320"/>
      <c r="R92" s="305"/>
      <c r="S92" s="305"/>
      <c r="T92" s="320"/>
      <c r="U92" s="328" t="s">
        <v>369</v>
      </c>
      <c r="V92" s="100"/>
      <c r="W92" s="100"/>
      <c r="X92" s="100"/>
      <c r="Y92" s="100"/>
      <c r="Z92" s="100"/>
      <c r="AA92" s="100" t="s">
        <v>299</v>
      </c>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7"/>
      <c r="BC92" s="102">
        <f>IF((SUMPRODUCT(--(V92:AV92&lt;&gt;""))=0),"0",(VLOOKUP((MATCH("X",$V92:$AV92,0)), Lists!$E$13:$G$39,3)))</f>
        <v>155</v>
      </c>
      <c r="BD92" s="103">
        <f t="shared" si="2"/>
        <v>34410</v>
      </c>
      <c r="BE92" s="103" t="str">
        <f t="shared" si="3"/>
        <v>-</v>
      </c>
      <c r="BF92" s="82"/>
      <c r="BG92" s="132" t="s">
        <v>15</v>
      </c>
      <c r="BH92" s="132" t="s">
        <v>15</v>
      </c>
      <c r="BI92" s="104">
        <f>IF(ISBLANK($BG92),"-",(IF(BD92="-","-",BD92*(Lists!$K$10/100))))</f>
        <v>5161.5</v>
      </c>
      <c r="BJ92" s="104">
        <f>IF(ISBLANK($BH92),"-",(IF(BD92="-","-",BD92*(Lists!$K$11/100))))</f>
        <v>3441</v>
      </c>
      <c r="BK92" s="104" t="str">
        <f>IF(ISBLANK($BG92),"-",(IF(BE92="-","-",BE92*(Lists!$K$10/100))))</f>
        <v>-</v>
      </c>
      <c r="BL92" s="104" t="str">
        <f>IF(ISBLANK($BH92),"-",(IF(BE92="-","-",BE92*(Lists!$K$11/100))))</f>
        <v>-</v>
      </c>
      <c r="BM92" s="133"/>
      <c r="BN92" s="98" t="s">
        <v>15</v>
      </c>
      <c r="BO92" s="104" t="str">
        <f>IF(ISBLANK(BM92),"-",((Lists!$K$19/100)*(IF(BD92&lt;&gt;"-",BD92,BE92))))</f>
        <v>-</v>
      </c>
      <c r="BP92" s="104">
        <f>IF(ISBLANK(BN92),"-",((Lists!$K$20/100)*(IF(BD92&lt;&gt;"-",BD92,BE92))))</f>
        <v>1720.5</v>
      </c>
    </row>
    <row r="93" spans="1:68" x14ac:dyDescent="0.25">
      <c r="A93" s="128" t="s">
        <v>85</v>
      </c>
      <c r="B93" s="149"/>
      <c r="C93" s="309"/>
      <c r="D93" s="309"/>
      <c r="E93" s="311"/>
      <c r="F93" s="97" t="s">
        <v>110</v>
      </c>
      <c r="G93" s="97">
        <v>222</v>
      </c>
      <c r="H93" s="97" t="s">
        <v>295</v>
      </c>
      <c r="I93" s="128"/>
      <c r="J93" s="96" t="s">
        <v>495</v>
      </c>
      <c r="K93" s="315"/>
      <c r="L93" s="313"/>
      <c r="M93" s="329"/>
      <c r="N93" s="329"/>
      <c r="O93" s="329"/>
      <c r="P93" s="329"/>
      <c r="Q93" s="321"/>
      <c r="R93" s="329"/>
      <c r="S93" s="329"/>
      <c r="T93" s="321"/>
      <c r="U93" s="328"/>
      <c r="V93" s="100"/>
      <c r="W93" s="100"/>
      <c r="X93" s="100"/>
      <c r="Y93" s="100"/>
      <c r="Z93" s="100"/>
      <c r="AA93" s="100"/>
      <c r="AB93" s="100"/>
      <c r="AC93" s="100"/>
      <c r="AD93" s="100"/>
      <c r="AE93" s="100"/>
      <c r="AF93" s="100"/>
      <c r="AG93" s="100"/>
      <c r="AH93" s="100"/>
      <c r="AI93" s="100"/>
      <c r="AJ93" s="100"/>
      <c r="AK93" s="100"/>
      <c r="AL93" s="100"/>
      <c r="AM93" s="100" t="s">
        <v>299</v>
      </c>
      <c r="AN93" s="100"/>
      <c r="AO93" s="100"/>
      <c r="AP93" s="100"/>
      <c r="AQ93" s="100"/>
      <c r="AR93" s="100"/>
      <c r="AS93" s="100"/>
      <c r="AT93" s="100"/>
      <c r="AU93" s="100"/>
      <c r="AV93" s="100"/>
      <c r="AW93" s="100"/>
      <c r="AX93" s="100"/>
      <c r="AY93" s="100"/>
      <c r="AZ93" s="100"/>
      <c r="BA93" s="100"/>
      <c r="BB93" s="107"/>
      <c r="BC93" s="102">
        <f>IF((SUMPRODUCT(--(V93:AV93&lt;&gt;""))=0),"0",(VLOOKUP((MATCH("X",$V93:$AV93,0)), Lists!$E$13:$G$39,3)))</f>
        <v>50</v>
      </c>
      <c r="BD93" s="103">
        <f t="shared" si="2"/>
        <v>11100</v>
      </c>
      <c r="BE93" s="103" t="str">
        <f t="shared" si="3"/>
        <v>-</v>
      </c>
      <c r="BF93" s="82"/>
      <c r="BG93" s="132" t="s">
        <v>15</v>
      </c>
      <c r="BH93" s="132" t="s">
        <v>15</v>
      </c>
      <c r="BI93" s="104">
        <f>IF(ISBLANK($BG93),"-",(IF(BD93="-","-",BD93*(Lists!$K$10/100))))</f>
        <v>1665</v>
      </c>
      <c r="BJ93" s="104">
        <f>IF(ISBLANK($BH93),"-",(IF(BD93="-","-",BD93*(Lists!$K$11/100))))</f>
        <v>1110</v>
      </c>
      <c r="BK93" s="104" t="str">
        <f>IF(ISBLANK($BG93),"-",(IF(BE93="-","-",BE93*(Lists!$K$10/100))))</f>
        <v>-</v>
      </c>
      <c r="BL93" s="104" t="str">
        <f>IF(ISBLANK($BH93),"-",(IF(BE93="-","-",BE93*(Lists!$K$11/100))))</f>
        <v>-</v>
      </c>
      <c r="BM93" s="144"/>
      <c r="BN93" s="98" t="s">
        <v>15</v>
      </c>
      <c r="BO93" s="104" t="str">
        <f>IF(ISBLANK(BM93),"-",((Lists!$K$19/100)*(IF(BD93&lt;&gt;"-",BD93,BE93))))</f>
        <v>-</v>
      </c>
      <c r="BP93" s="104">
        <f>IF(ISBLANK(BN93),"-",((Lists!$K$20/100)*(IF(BD93&lt;&gt;"-",BD93,BE93))))</f>
        <v>555</v>
      </c>
    </row>
    <row r="94" spans="1:68" x14ac:dyDescent="0.25">
      <c r="A94" s="128" t="s">
        <v>85</v>
      </c>
      <c r="B94" s="149"/>
      <c r="C94" s="309"/>
      <c r="D94" s="309"/>
      <c r="E94" s="311"/>
      <c r="F94" s="97" t="s">
        <v>110</v>
      </c>
      <c r="G94" s="97">
        <v>326</v>
      </c>
      <c r="H94" s="97" t="s">
        <v>295</v>
      </c>
      <c r="I94" s="128"/>
      <c r="J94" s="96" t="s">
        <v>371</v>
      </c>
      <c r="K94" s="315"/>
      <c r="L94" s="357"/>
      <c r="M94" s="329"/>
      <c r="N94" s="329"/>
      <c r="O94" s="329"/>
      <c r="P94" s="329"/>
      <c r="Q94" s="321"/>
      <c r="R94" s="329"/>
      <c r="S94" s="329"/>
      <c r="T94" s="321"/>
      <c r="U94" s="318"/>
      <c r="V94" s="100"/>
      <c r="W94" s="100"/>
      <c r="X94" s="100"/>
      <c r="Y94" s="100"/>
      <c r="Z94" s="100"/>
      <c r="AA94" s="100"/>
      <c r="AB94" s="100"/>
      <c r="AC94" s="100"/>
      <c r="AD94" s="100"/>
      <c r="AE94" s="100"/>
      <c r="AF94" s="100"/>
      <c r="AG94" s="100"/>
      <c r="AH94" s="100"/>
      <c r="AI94" s="100"/>
      <c r="AJ94" s="100" t="s">
        <v>299</v>
      </c>
      <c r="AK94" s="100"/>
      <c r="AL94" s="100"/>
      <c r="AM94" s="100"/>
      <c r="AN94" s="100"/>
      <c r="AO94" s="100"/>
      <c r="AP94" s="100"/>
      <c r="AQ94" s="100"/>
      <c r="AR94" s="100"/>
      <c r="AS94" s="100"/>
      <c r="AT94" s="100"/>
      <c r="AU94" s="100"/>
      <c r="AV94" s="100"/>
      <c r="AW94" s="100"/>
      <c r="AX94" s="100"/>
      <c r="AY94" s="100"/>
      <c r="AZ94" s="100"/>
      <c r="BA94" s="100"/>
      <c r="BB94" s="107"/>
      <c r="BC94" s="102">
        <f>IF((SUMPRODUCT(--(V94:AV94&lt;&gt;""))=0),"0",(VLOOKUP((MATCH("X",$V94:$AV94,0)), Lists!$E$13:$G$39,3)))</f>
        <v>36</v>
      </c>
      <c r="BD94" s="103">
        <f t="shared" si="2"/>
        <v>11736</v>
      </c>
      <c r="BE94" s="103" t="str">
        <f t="shared" si="3"/>
        <v>-</v>
      </c>
      <c r="BF94" s="82"/>
      <c r="BG94" s="132" t="s">
        <v>15</v>
      </c>
      <c r="BH94" s="132" t="s">
        <v>15</v>
      </c>
      <c r="BI94" s="104">
        <f>IF(ISBLANK($BG94),"-",(IF(BD94="-","-",BD94*(Lists!$K$10/100))))</f>
        <v>1760.3999999999999</v>
      </c>
      <c r="BJ94" s="104">
        <f>IF(ISBLANK($BH94),"-",(IF(BD94="-","-",BD94*(Lists!$K$11/100))))</f>
        <v>1173.6000000000001</v>
      </c>
      <c r="BK94" s="104" t="str">
        <f>IF(ISBLANK($BG94),"-",(IF(BE94="-","-",BE94*(Lists!$K$10/100))))</f>
        <v>-</v>
      </c>
      <c r="BL94" s="104" t="str">
        <f>IF(ISBLANK($BH94),"-",(IF(BE94="-","-",BE94*(Lists!$K$11/100))))</f>
        <v>-</v>
      </c>
      <c r="BM94" s="151"/>
      <c r="BN94" s="98" t="s">
        <v>15</v>
      </c>
      <c r="BO94" s="104" t="str">
        <f>IF(ISBLANK(BM94),"-",((Lists!$K$19/100)*(IF(BD94&lt;&gt;"-",BD94,BE94))))</f>
        <v>-</v>
      </c>
      <c r="BP94" s="104">
        <f>IF(ISBLANK(BN94),"-",((Lists!$K$20/100)*(IF(BD94&lt;&gt;"-",BD94,BE94))))</f>
        <v>586.80000000000007</v>
      </c>
    </row>
    <row r="95" spans="1:68" ht="25.5" x14ac:dyDescent="0.25">
      <c r="A95" s="128" t="s">
        <v>85</v>
      </c>
      <c r="B95" s="131"/>
      <c r="C95" s="309"/>
      <c r="D95" s="309"/>
      <c r="E95" s="312"/>
      <c r="F95" s="97" t="s">
        <v>110</v>
      </c>
      <c r="G95" s="97">
        <v>1</v>
      </c>
      <c r="H95" s="97" t="s">
        <v>294</v>
      </c>
      <c r="I95" s="128"/>
      <c r="J95" s="96" t="s">
        <v>372</v>
      </c>
      <c r="K95" s="319"/>
      <c r="L95" s="304"/>
      <c r="M95" s="306"/>
      <c r="N95" s="306"/>
      <c r="O95" s="306"/>
      <c r="P95" s="306"/>
      <c r="Q95" s="327"/>
      <c r="R95" s="306"/>
      <c r="S95" s="306"/>
      <c r="T95" s="327"/>
      <c r="U95" s="318"/>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t="s">
        <v>299</v>
      </c>
      <c r="AX95" s="100"/>
      <c r="AY95" s="100"/>
      <c r="AZ95" s="100"/>
      <c r="BA95" s="100"/>
      <c r="BB95" s="134">
        <v>45000</v>
      </c>
      <c r="BC95" s="102" t="str">
        <f>IF((SUMPRODUCT(--(V95:AV95&lt;&gt;""))=0),"0",(VLOOKUP((MATCH("X",$V95:$AV95,0)), Lists!$E$13:$G$39,3)))</f>
        <v>0</v>
      </c>
      <c r="BD95" s="103" t="str">
        <f t="shared" si="2"/>
        <v>-</v>
      </c>
      <c r="BE95" s="103">
        <f t="shared" si="3"/>
        <v>45000</v>
      </c>
      <c r="BF95" s="82" t="s">
        <v>479</v>
      </c>
      <c r="BG95" s="132" t="s">
        <v>15</v>
      </c>
      <c r="BH95" s="132" t="s">
        <v>15</v>
      </c>
      <c r="BI95" s="104" t="str">
        <f>IF(ISBLANK($BG95),"-",(IF(BD95="-","-",BD95*(Lists!$K$10/100))))</f>
        <v>-</v>
      </c>
      <c r="BJ95" s="104" t="str">
        <f>IF(ISBLANK($BH95),"-",(IF(BD95="-","-",BD95*(Lists!$K$11/100))))</f>
        <v>-</v>
      </c>
      <c r="BK95" s="104">
        <f>IF(ISBLANK($BG95),"-",(IF(BE95="-","-",BE95*(Lists!$K$10/100))))</f>
        <v>6750</v>
      </c>
      <c r="BL95" s="104">
        <f>IF(ISBLANK($BH95),"-",(IF(BE95="-","-",BE95*(Lists!$K$11/100))))</f>
        <v>4500</v>
      </c>
      <c r="BM95" s="142"/>
      <c r="BN95" s="98" t="s">
        <v>15</v>
      </c>
      <c r="BO95" s="104" t="str">
        <f>IF(ISBLANK(BM95),"-",((Lists!$K$19/100)*(IF(BD95&lt;&gt;"-",BD95,BE95))))</f>
        <v>-</v>
      </c>
      <c r="BP95" s="104">
        <f>IF(ISBLANK(BN95),"-",((Lists!$K$20/100)*(IF(BD95&lt;&gt;"-",BD95,BE95))))</f>
        <v>2250</v>
      </c>
    </row>
    <row r="96" spans="1:68" ht="46.5" customHeight="1" x14ac:dyDescent="0.25">
      <c r="A96" s="130" t="s">
        <v>85</v>
      </c>
      <c r="B96" s="128"/>
      <c r="C96" s="307" t="s">
        <v>163</v>
      </c>
      <c r="D96" s="307" t="s">
        <v>47</v>
      </c>
      <c r="E96" s="307">
        <v>1181</v>
      </c>
      <c r="F96" s="307" t="s">
        <v>110</v>
      </c>
      <c r="G96" s="150">
        <v>1181</v>
      </c>
      <c r="H96" s="307" t="s">
        <v>295</v>
      </c>
      <c r="I96" s="128"/>
      <c r="J96" s="96" t="s">
        <v>373</v>
      </c>
      <c r="K96" s="314" t="s">
        <v>341</v>
      </c>
      <c r="L96" s="307"/>
      <c r="M96" s="320" t="s">
        <v>15</v>
      </c>
      <c r="N96" s="320"/>
      <c r="O96" s="305"/>
      <c r="P96" s="305"/>
      <c r="Q96" s="320"/>
      <c r="R96" s="320" t="s">
        <v>15</v>
      </c>
      <c r="S96" s="320" t="s">
        <v>15</v>
      </c>
      <c r="T96" s="320"/>
      <c r="U96" s="314" t="s">
        <v>491</v>
      </c>
      <c r="V96" s="100"/>
      <c r="W96" s="100"/>
      <c r="X96" s="100"/>
      <c r="Y96" s="100"/>
      <c r="Z96" s="100"/>
      <c r="AA96" s="100" t="s">
        <v>299</v>
      </c>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7"/>
      <c r="BC96" s="102">
        <f>IF((SUMPRODUCT(--(V96:AV96&lt;&gt;""))=0),"0",(VLOOKUP((MATCH("X",$V96:$AV96,0)), Lists!$E$13:$G$39,3)))</f>
        <v>155</v>
      </c>
      <c r="BD96" s="103">
        <f t="shared" si="2"/>
        <v>183055</v>
      </c>
      <c r="BE96" s="103" t="str">
        <f t="shared" si="3"/>
        <v>-</v>
      </c>
      <c r="BF96" s="82"/>
      <c r="BG96" s="132" t="s">
        <v>15</v>
      </c>
      <c r="BH96" s="132" t="s">
        <v>15</v>
      </c>
      <c r="BI96" s="104">
        <f>IF(ISBLANK($BG96),"-",(IF(BD96="-","-",BD96*(Lists!$K$10/100))))</f>
        <v>27458.25</v>
      </c>
      <c r="BJ96" s="104">
        <f>IF(ISBLANK($BH96),"-",(IF(BD96="-","-",BD96*(Lists!$K$11/100))))</f>
        <v>18305.5</v>
      </c>
      <c r="BK96" s="104" t="str">
        <f>IF(ISBLANK($BG96),"-",(IF(BE96="-","-",BE96*(Lists!$K$10/100))))</f>
        <v>-</v>
      </c>
      <c r="BL96" s="104" t="str">
        <f>IF(ISBLANK($BH96),"-",(IF(BE96="-","-",BE96*(Lists!$K$11/100))))</f>
        <v>-</v>
      </c>
      <c r="BM96" s="133"/>
      <c r="BN96" s="98" t="s">
        <v>15</v>
      </c>
      <c r="BO96" s="104" t="str">
        <f>IF(ISBLANK(BM96),"-",((Lists!$K$19/100)*(IF(BD96&lt;&gt;"-",BD96,BE96))))</f>
        <v>-</v>
      </c>
      <c r="BP96" s="104">
        <f>IF(ISBLANK(BN96),"-",((Lists!$K$20/100)*(IF(BD96&lt;&gt;"-",BD96,BE96))))</f>
        <v>9152.75</v>
      </c>
    </row>
    <row r="97" spans="1:68" ht="46.5" customHeight="1" x14ac:dyDescent="0.25">
      <c r="A97" s="130" t="s">
        <v>85</v>
      </c>
      <c r="B97" s="128"/>
      <c r="C97" s="312"/>
      <c r="D97" s="312"/>
      <c r="E97" s="312"/>
      <c r="F97" s="312"/>
      <c r="G97" s="150">
        <v>1181</v>
      </c>
      <c r="H97" s="312"/>
      <c r="I97" s="128"/>
      <c r="J97" s="96" t="s">
        <v>495</v>
      </c>
      <c r="K97" s="316"/>
      <c r="L97" s="317"/>
      <c r="M97" s="327"/>
      <c r="N97" s="327"/>
      <c r="O97" s="306"/>
      <c r="P97" s="306"/>
      <c r="Q97" s="327"/>
      <c r="R97" s="327"/>
      <c r="S97" s="327"/>
      <c r="T97" s="327"/>
      <c r="U97" s="317"/>
      <c r="V97" s="100"/>
      <c r="W97" s="100"/>
      <c r="X97" s="100"/>
      <c r="Y97" s="100"/>
      <c r="Z97" s="100"/>
      <c r="AA97" s="100"/>
      <c r="AB97" s="100"/>
      <c r="AC97" s="100"/>
      <c r="AD97" s="100"/>
      <c r="AE97" s="100"/>
      <c r="AF97" s="100"/>
      <c r="AG97" s="100"/>
      <c r="AH97" s="100"/>
      <c r="AI97" s="100"/>
      <c r="AJ97" s="100"/>
      <c r="AK97" s="100"/>
      <c r="AL97" s="100"/>
      <c r="AM97" s="100" t="s">
        <v>299</v>
      </c>
      <c r="AN97" s="100"/>
      <c r="AO97" s="100"/>
      <c r="AP97" s="100"/>
      <c r="AQ97" s="100"/>
      <c r="AR97" s="100"/>
      <c r="AS97" s="100"/>
      <c r="AT97" s="100"/>
      <c r="AU97" s="100"/>
      <c r="AV97" s="100"/>
      <c r="AW97" s="100"/>
      <c r="AX97" s="100"/>
      <c r="AY97" s="100"/>
      <c r="AZ97" s="100"/>
      <c r="BA97" s="100"/>
      <c r="BB97" s="107"/>
      <c r="BC97" s="102">
        <f>IF((SUMPRODUCT(--(V97:AV97&lt;&gt;""))=0),"0",(VLOOKUP((MATCH("X",$V97:$AV97,0)), Lists!$E$13:$G$39,3)))</f>
        <v>50</v>
      </c>
      <c r="BD97" s="103">
        <f t="shared" si="2"/>
        <v>59050</v>
      </c>
      <c r="BE97" s="103" t="str">
        <f t="shared" si="3"/>
        <v>-</v>
      </c>
      <c r="BF97" s="82"/>
      <c r="BG97" s="132" t="s">
        <v>15</v>
      </c>
      <c r="BH97" s="132" t="s">
        <v>15</v>
      </c>
      <c r="BI97" s="104">
        <f>IF(ISBLANK($BG97),"-",(IF(BD97="-","-",BD97*(Lists!$K$10/100))))</f>
        <v>8857.5</v>
      </c>
      <c r="BJ97" s="104">
        <f>IF(ISBLANK($BH97),"-",(IF(BD97="-","-",BD97*(Lists!$K$11/100))))</f>
        <v>5905</v>
      </c>
      <c r="BK97" s="104" t="str">
        <f>IF(ISBLANK($BG97),"-",(IF(BE97="-","-",BE97*(Lists!$K$10/100))))</f>
        <v>-</v>
      </c>
      <c r="BL97" s="104" t="str">
        <f>IF(ISBLANK($BH97),"-",(IF(BE97="-","-",BE97*(Lists!$K$11/100))))</f>
        <v>-</v>
      </c>
      <c r="BM97" s="140"/>
      <c r="BN97" s="98" t="s">
        <v>15</v>
      </c>
      <c r="BO97" s="104" t="str">
        <f>IF(ISBLANK(BM97),"-",((Lists!$K$19/100)*(IF(BD97&lt;&gt;"-",BD97,BE97))))</f>
        <v>-</v>
      </c>
      <c r="BP97" s="104">
        <f>IF(ISBLANK(BN97),"-",((Lists!$K$20/100)*(IF(BD97&lt;&gt;"-",BD97,BE97))))</f>
        <v>2952.5</v>
      </c>
    </row>
    <row r="98" spans="1:68" ht="43.5" customHeight="1" x14ac:dyDescent="0.25">
      <c r="A98" s="130" t="s">
        <v>85</v>
      </c>
      <c r="B98" s="128"/>
      <c r="C98" s="307" t="s">
        <v>47</v>
      </c>
      <c r="D98" s="307" t="s">
        <v>450</v>
      </c>
      <c r="E98" s="307">
        <v>642</v>
      </c>
      <c r="F98" s="307" t="s">
        <v>110</v>
      </c>
      <c r="G98" s="150">
        <v>642</v>
      </c>
      <c r="H98" s="307" t="s">
        <v>295</v>
      </c>
      <c r="I98" s="128"/>
      <c r="J98" s="96" t="s">
        <v>687</v>
      </c>
      <c r="K98" s="314" t="s">
        <v>680</v>
      </c>
      <c r="L98" s="350"/>
      <c r="M98" s="320"/>
      <c r="N98" s="320" t="s">
        <v>15</v>
      </c>
      <c r="O98" s="320" t="s">
        <v>15</v>
      </c>
      <c r="P98" s="305"/>
      <c r="Q98" s="320" t="s">
        <v>15</v>
      </c>
      <c r="R98" s="305"/>
      <c r="S98" s="305"/>
      <c r="T98" s="305"/>
      <c r="U98" s="314" t="s">
        <v>695</v>
      </c>
      <c r="V98" s="100"/>
      <c r="W98" s="100"/>
      <c r="X98" s="100"/>
      <c r="Y98" s="100"/>
      <c r="Z98" s="100"/>
      <c r="AA98" s="100"/>
      <c r="AB98" s="100" t="s">
        <v>299</v>
      </c>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7"/>
      <c r="BC98" s="102">
        <f>IF((SUMPRODUCT(--(V98:AV98&lt;&gt;""))=0),"0",(VLOOKUP((MATCH("X",$V98:$AV98,0)), Lists!$E$13:$G$39,3)))</f>
        <v>188</v>
      </c>
      <c r="BD98" s="103">
        <f t="shared" si="2"/>
        <v>120696</v>
      </c>
      <c r="BE98" s="103" t="str">
        <f t="shared" si="3"/>
        <v>-</v>
      </c>
      <c r="BF98" s="82"/>
      <c r="BG98" s="132" t="s">
        <v>15</v>
      </c>
      <c r="BH98" s="132" t="s">
        <v>15</v>
      </c>
      <c r="BI98" s="104">
        <f>IF(ISBLANK($BG98),"-",(IF(BD98="-","-",BD98*(Lists!$K$10/100))))</f>
        <v>18104.399999999998</v>
      </c>
      <c r="BJ98" s="104">
        <f>IF(ISBLANK($BH98),"-",(IF(BD98="-","-",BD98*(Lists!$K$11/100))))</f>
        <v>12069.6</v>
      </c>
      <c r="BK98" s="104" t="str">
        <f>IF(ISBLANK($BG98),"-",(IF(BE98="-","-",BE98*(Lists!$K$10/100))))</f>
        <v>-</v>
      </c>
      <c r="BL98" s="104" t="str">
        <f>IF(ISBLANK($BH98),"-",(IF(BE98="-","-",BE98*(Lists!$K$11/100))))</f>
        <v>-</v>
      </c>
      <c r="BM98" s="133"/>
      <c r="BN98" s="98" t="s">
        <v>15</v>
      </c>
      <c r="BO98" s="104" t="str">
        <f>IF(ISBLANK(BM98),"-",((Lists!$K$19/100)*(IF(BD98&lt;&gt;"-",BD98,BE98))))</f>
        <v>-</v>
      </c>
      <c r="BP98" s="104">
        <f>IF(ISBLANK(BN98),"-",((Lists!$K$20/100)*(IF(BD98&lt;&gt;"-",BD98,BE98))))</f>
        <v>6034.8</v>
      </c>
    </row>
    <row r="99" spans="1:68" ht="43.5" customHeight="1" x14ac:dyDescent="0.25">
      <c r="A99" s="130" t="s">
        <v>85</v>
      </c>
      <c r="B99" s="128"/>
      <c r="C99" s="312"/>
      <c r="D99" s="312"/>
      <c r="E99" s="312"/>
      <c r="F99" s="312"/>
      <c r="G99" s="150">
        <v>642</v>
      </c>
      <c r="H99" s="312"/>
      <c r="I99" s="128"/>
      <c r="J99" s="96" t="s">
        <v>495</v>
      </c>
      <c r="K99" s="316"/>
      <c r="L99" s="317"/>
      <c r="M99" s="327"/>
      <c r="N99" s="327"/>
      <c r="O99" s="327"/>
      <c r="P99" s="306"/>
      <c r="Q99" s="327"/>
      <c r="R99" s="306"/>
      <c r="S99" s="306"/>
      <c r="T99" s="306"/>
      <c r="U99" s="317"/>
      <c r="V99" s="100"/>
      <c r="W99" s="100"/>
      <c r="X99" s="100"/>
      <c r="Y99" s="100"/>
      <c r="Z99" s="100"/>
      <c r="AA99" s="100"/>
      <c r="AB99" s="100"/>
      <c r="AC99" s="100"/>
      <c r="AD99" s="100"/>
      <c r="AE99" s="100"/>
      <c r="AF99" s="100"/>
      <c r="AG99" s="100"/>
      <c r="AH99" s="100"/>
      <c r="AI99" s="100"/>
      <c r="AJ99" s="100"/>
      <c r="AK99" s="100"/>
      <c r="AL99" s="100"/>
      <c r="AM99" s="100" t="s">
        <v>299</v>
      </c>
      <c r="AN99" s="100"/>
      <c r="AO99" s="100"/>
      <c r="AP99" s="100"/>
      <c r="AQ99" s="100"/>
      <c r="AR99" s="100"/>
      <c r="AS99" s="100"/>
      <c r="AT99" s="100"/>
      <c r="AU99" s="100"/>
      <c r="AV99" s="100"/>
      <c r="AW99" s="100"/>
      <c r="AX99" s="100"/>
      <c r="AY99" s="100"/>
      <c r="AZ99" s="100"/>
      <c r="BA99" s="100"/>
      <c r="BB99" s="107"/>
      <c r="BC99" s="102">
        <f>IF((SUMPRODUCT(--(V99:AV99&lt;&gt;""))=0),"0",(VLOOKUP((MATCH("X",$V99:$AV99,0)), Lists!$E$13:$G$39,3)))</f>
        <v>50</v>
      </c>
      <c r="BD99" s="103">
        <f t="shared" si="2"/>
        <v>32100</v>
      </c>
      <c r="BE99" s="103" t="str">
        <f t="shared" si="3"/>
        <v>-</v>
      </c>
      <c r="BF99" s="82"/>
      <c r="BG99" s="132" t="s">
        <v>15</v>
      </c>
      <c r="BH99" s="132" t="s">
        <v>15</v>
      </c>
      <c r="BI99" s="104">
        <f>IF(ISBLANK($BG99),"-",(IF(BD99="-","-",BD99*(Lists!$K$10/100))))</f>
        <v>4815</v>
      </c>
      <c r="BJ99" s="104">
        <f>IF(ISBLANK($BH99),"-",(IF(BD99="-","-",BD99*(Lists!$K$11/100))))</f>
        <v>3210</v>
      </c>
      <c r="BK99" s="104" t="str">
        <f>IF(ISBLANK($BG99),"-",(IF(BE99="-","-",BE99*(Lists!$K$10/100))))</f>
        <v>-</v>
      </c>
      <c r="BL99" s="104" t="str">
        <f>IF(ISBLANK($BH99),"-",(IF(BE99="-","-",BE99*(Lists!$K$11/100))))</f>
        <v>-</v>
      </c>
      <c r="BM99" s="140"/>
      <c r="BN99" s="98" t="s">
        <v>15</v>
      </c>
      <c r="BO99" s="104" t="str">
        <f>IF(ISBLANK(BM99),"-",((Lists!$K$19/100)*(IF(BD99&lt;&gt;"-",BD99,BE99))))</f>
        <v>-</v>
      </c>
      <c r="BP99" s="104">
        <f>IF(ISBLANK(BN99),"-",((Lists!$K$20/100)*(IF(BD99&lt;&gt;"-",BD99,BE99))))</f>
        <v>1605</v>
      </c>
    </row>
    <row r="100" spans="1:68" ht="43.5" customHeight="1" x14ac:dyDescent="0.25">
      <c r="A100" s="130" t="s">
        <v>85</v>
      </c>
      <c r="B100" s="128"/>
      <c r="C100" s="166" t="s">
        <v>624</v>
      </c>
      <c r="D100" s="166" t="s">
        <v>48</v>
      </c>
      <c r="E100" s="166">
        <v>183</v>
      </c>
      <c r="F100" s="166" t="s">
        <v>110</v>
      </c>
      <c r="G100" s="150">
        <v>366</v>
      </c>
      <c r="H100" s="166" t="s">
        <v>295</v>
      </c>
      <c r="I100" s="128"/>
      <c r="J100" s="96" t="s">
        <v>647</v>
      </c>
      <c r="K100" s="167" t="s">
        <v>682</v>
      </c>
      <c r="L100" s="168"/>
      <c r="M100" s="169"/>
      <c r="N100" s="169"/>
      <c r="O100" s="169"/>
      <c r="P100" s="144"/>
      <c r="Q100" s="169"/>
      <c r="R100" s="144"/>
      <c r="S100" s="144"/>
      <c r="T100" s="144"/>
      <c r="U100" s="168"/>
      <c r="V100" s="100"/>
      <c r="W100" s="100"/>
      <c r="X100" s="100"/>
      <c r="Y100" s="100"/>
      <c r="Z100" s="100"/>
      <c r="AA100" s="100"/>
      <c r="AB100" s="100"/>
      <c r="AC100" s="100"/>
      <c r="AD100" s="100"/>
      <c r="AE100" s="100"/>
      <c r="AF100" s="100"/>
      <c r="AG100" s="100"/>
      <c r="AH100" s="100"/>
      <c r="AI100" s="100"/>
      <c r="AJ100" s="100" t="s">
        <v>299</v>
      </c>
      <c r="AK100" s="100"/>
      <c r="AL100" s="100"/>
      <c r="AM100" s="100"/>
      <c r="AN100" s="100"/>
      <c r="AO100" s="100"/>
      <c r="AP100" s="100"/>
      <c r="AQ100" s="100"/>
      <c r="AR100" s="100"/>
      <c r="AS100" s="100"/>
      <c r="AT100" s="100"/>
      <c r="AU100" s="100"/>
      <c r="AV100" s="100"/>
      <c r="AW100" s="100"/>
      <c r="AX100" s="100"/>
      <c r="AY100" s="100"/>
      <c r="AZ100" s="100"/>
      <c r="BA100" s="100"/>
      <c r="BB100" s="107"/>
      <c r="BC100" s="102">
        <f>IF((SUMPRODUCT(--(V100:AV100&lt;&gt;""))=0),"0",(VLOOKUP((MATCH("X",$V100:$AV100,0)), Lists!$E$13:$G$39,3)))</f>
        <v>36</v>
      </c>
      <c r="BD100" s="103">
        <f t="shared" si="2"/>
        <v>13176</v>
      </c>
      <c r="BE100" s="103" t="str">
        <f t="shared" si="3"/>
        <v>-</v>
      </c>
      <c r="BF100" s="82"/>
      <c r="BG100" s="132" t="s">
        <v>15</v>
      </c>
      <c r="BH100" s="132" t="s">
        <v>15</v>
      </c>
      <c r="BI100" s="104">
        <f>IF(ISBLANK($BG100),"-",(IF(BD100="-","-",BD100*(Lists!$K$10/100))))</f>
        <v>1976.3999999999999</v>
      </c>
      <c r="BJ100" s="104">
        <f>IF(ISBLANK($BH100),"-",(IF(BD100="-","-",BD100*(Lists!$K$11/100))))</f>
        <v>1317.6000000000001</v>
      </c>
      <c r="BK100" s="104" t="str">
        <f>IF(ISBLANK($BG100),"-",(IF(BE100="-","-",BE100*(Lists!$K$10/100))))</f>
        <v>-</v>
      </c>
      <c r="BL100" s="104" t="str">
        <f>IF(ISBLANK($BH100),"-",(IF(BE100="-","-",BE100*(Lists!$K$11/100))))</f>
        <v>-</v>
      </c>
      <c r="BM100" s="168"/>
      <c r="BN100" s="98" t="s">
        <v>15</v>
      </c>
      <c r="BO100" s="104" t="str">
        <f>IF(ISBLANK(BM100),"-",((Lists!$K$19/100)*(IF(BD100&lt;&gt;"-",BD100,BE100))))</f>
        <v>-</v>
      </c>
      <c r="BP100" s="104">
        <f>IF(ISBLANK(BN100),"-",((Lists!$K$20/100)*(IF(BD100&lt;&gt;"-",BD100,BE100))))</f>
        <v>658.80000000000007</v>
      </c>
    </row>
    <row r="101" spans="1:68" x14ac:dyDescent="0.25">
      <c r="A101" s="130" t="s">
        <v>85</v>
      </c>
      <c r="B101" s="128"/>
      <c r="C101" s="307" t="s">
        <v>48</v>
      </c>
      <c r="D101" s="307" t="s">
        <v>49</v>
      </c>
      <c r="E101" s="307">
        <v>141</v>
      </c>
      <c r="F101" s="307" t="s">
        <v>110</v>
      </c>
      <c r="G101" s="150">
        <v>141</v>
      </c>
      <c r="H101" s="307" t="s">
        <v>295</v>
      </c>
      <c r="I101" s="128"/>
      <c r="J101" s="96" t="s">
        <v>374</v>
      </c>
      <c r="K101" s="352" t="s">
        <v>682</v>
      </c>
      <c r="L101" s="307"/>
      <c r="M101" s="320"/>
      <c r="N101" s="320" t="s">
        <v>15</v>
      </c>
      <c r="O101" s="320"/>
      <c r="P101" s="305"/>
      <c r="Q101" s="320"/>
      <c r="R101" s="305"/>
      <c r="S101" s="305"/>
      <c r="T101" s="305"/>
      <c r="U101" s="314" t="s">
        <v>492</v>
      </c>
      <c r="V101" s="100"/>
      <c r="W101" s="100"/>
      <c r="X101" s="100"/>
      <c r="Y101" s="100"/>
      <c r="Z101" s="100"/>
      <c r="AA101" s="100" t="s">
        <v>299</v>
      </c>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7"/>
      <c r="BC101" s="102">
        <f>IF((SUMPRODUCT(--(V101:AV101&lt;&gt;""))=0),"0",(VLOOKUP((MATCH("X",$V101:$AV101,0)), Lists!$E$13:$G$39,3)))</f>
        <v>155</v>
      </c>
      <c r="BD101" s="103">
        <f t="shared" si="2"/>
        <v>21855</v>
      </c>
      <c r="BE101" s="103" t="str">
        <f t="shared" si="3"/>
        <v>-</v>
      </c>
      <c r="BF101" s="82"/>
      <c r="BG101" s="132" t="s">
        <v>15</v>
      </c>
      <c r="BH101" s="132" t="s">
        <v>15</v>
      </c>
      <c r="BI101" s="104">
        <f>IF(ISBLANK($BG101),"-",(IF(BD101="-","-",BD101*(Lists!$K$10/100))))</f>
        <v>3278.25</v>
      </c>
      <c r="BJ101" s="104">
        <f>IF(ISBLANK($BH101),"-",(IF(BD101="-","-",BD101*(Lists!$K$11/100))))</f>
        <v>2185.5</v>
      </c>
      <c r="BK101" s="104" t="str">
        <f>IF(ISBLANK($BG101),"-",(IF(BE101="-","-",BE101*(Lists!$K$10/100))))</f>
        <v>-</v>
      </c>
      <c r="BL101" s="104" t="str">
        <f>IF(ISBLANK($BH101),"-",(IF(BE101="-","-",BE101*(Lists!$K$11/100))))</f>
        <v>-</v>
      </c>
      <c r="BM101" s="133"/>
      <c r="BN101" s="98" t="s">
        <v>15</v>
      </c>
      <c r="BO101" s="104" t="str">
        <f>IF(ISBLANK(BM101),"-",((Lists!$K$19/100)*(IF(BD101&lt;&gt;"-",BD101,BE101))))</f>
        <v>-</v>
      </c>
      <c r="BP101" s="104">
        <f>IF(ISBLANK(BN101),"-",((Lists!$K$20/100)*(IF(BD101&lt;&gt;"-",BD101,BE101))))</f>
        <v>1092.75</v>
      </c>
    </row>
    <row r="102" spans="1:68" x14ac:dyDescent="0.25">
      <c r="A102" s="130" t="s">
        <v>85</v>
      </c>
      <c r="B102" s="128"/>
      <c r="C102" s="312"/>
      <c r="D102" s="312"/>
      <c r="E102" s="312"/>
      <c r="F102" s="312"/>
      <c r="G102" s="150">
        <v>141</v>
      </c>
      <c r="H102" s="312"/>
      <c r="I102" s="128"/>
      <c r="J102" s="96" t="s">
        <v>495</v>
      </c>
      <c r="K102" s="353"/>
      <c r="L102" s="317"/>
      <c r="M102" s="327"/>
      <c r="N102" s="327"/>
      <c r="O102" s="327"/>
      <c r="P102" s="306"/>
      <c r="Q102" s="327"/>
      <c r="R102" s="306"/>
      <c r="S102" s="306"/>
      <c r="T102" s="306"/>
      <c r="U102" s="317"/>
      <c r="V102" s="100"/>
      <c r="W102" s="100"/>
      <c r="X102" s="100"/>
      <c r="Y102" s="100"/>
      <c r="Z102" s="100"/>
      <c r="AA102" s="100"/>
      <c r="AB102" s="100"/>
      <c r="AC102" s="100"/>
      <c r="AD102" s="100"/>
      <c r="AE102" s="100"/>
      <c r="AF102" s="100"/>
      <c r="AG102" s="100"/>
      <c r="AH102" s="100"/>
      <c r="AI102" s="100"/>
      <c r="AJ102" s="100"/>
      <c r="AK102" s="100"/>
      <c r="AL102" s="100"/>
      <c r="AM102" s="100" t="s">
        <v>299</v>
      </c>
      <c r="AN102" s="100"/>
      <c r="AO102" s="100"/>
      <c r="AP102" s="100"/>
      <c r="AQ102" s="100"/>
      <c r="AR102" s="100"/>
      <c r="AS102" s="100"/>
      <c r="AT102" s="100"/>
      <c r="AU102" s="100"/>
      <c r="AV102" s="100"/>
      <c r="AW102" s="100"/>
      <c r="AX102" s="100"/>
      <c r="AY102" s="100"/>
      <c r="AZ102" s="100"/>
      <c r="BA102" s="100"/>
      <c r="BB102" s="107"/>
      <c r="BC102" s="102">
        <f>IF((SUMPRODUCT(--(V102:AV102&lt;&gt;""))=0),"0",(VLOOKUP((MATCH("X",$V102:$AV102,0)), Lists!$E$13:$G$39,3)))</f>
        <v>50</v>
      </c>
      <c r="BD102" s="103">
        <f t="shared" si="2"/>
        <v>7050</v>
      </c>
      <c r="BE102" s="103" t="str">
        <f t="shared" si="3"/>
        <v>-</v>
      </c>
      <c r="BF102" s="82"/>
      <c r="BG102" s="132" t="s">
        <v>15</v>
      </c>
      <c r="BH102" s="132" t="s">
        <v>15</v>
      </c>
      <c r="BI102" s="104">
        <f>IF(ISBLANK($BG102),"-",(IF(BD102="-","-",BD102*(Lists!$K$10/100))))</f>
        <v>1057.5</v>
      </c>
      <c r="BJ102" s="104">
        <f>IF(ISBLANK($BH102),"-",(IF(BD102="-","-",BD102*(Lists!$K$11/100))))</f>
        <v>705</v>
      </c>
      <c r="BK102" s="104" t="str">
        <f>IF(ISBLANK($BG102),"-",(IF(BE102="-","-",BE102*(Lists!$K$10/100))))</f>
        <v>-</v>
      </c>
      <c r="BL102" s="104" t="str">
        <f>IF(ISBLANK($BH102),"-",(IF(BE102="-","-",BE102*(Lists!$K$11/100))))</f>
        <v>-</v>
      </c>
      <c r="BM102" s="140"/>
      <c r="BN102" s="98" t="s">
        <v>15</v>
      </c>
      <c r="BO102" s="104" t="str">
        <f>IF(ISBLANK(BM102),"-",((Lists!$K$19/100)*(IF(BD102&lt;&gt;"-",BD102,BE102))))</f>
        <v>-</v>
      </c>
      <c r="BP102" s="104">
        <f>IF(ISBLANK(BN102),"-",((Lists!$K$20/100)*(IF(BD102&lt;&gt;"-",BD102,BE102))))</f>
        <v>352.5</v>
      </c>
    </row>
    <row r="103" spans="1:68" ht="25.5" customHeight="1" x14ac:dyDescent="0.25">
      <c r="A103" s="105" t="s">
        <v>85</v>
      </c>
      <c r="B103" s="128"/>
      <c r="C103" s="307" t="s">
        <v>48</v>
      </c>
      <c r="D103" s="307" t="s">
        <v>55</v>
      </c>
      <c r="E103" s="97">
        <v>196</v>
      </c>
      <c r="F103" s="97" t="s">
        <v>110</v>
      </c>
      <c r="G103" s="97">
        <v>196</v>
      </c>
      <c r="H103" s="97" t="s">
        <v>295</v>
      </c>
      <c r="I103" s="128"/>
      <c r="J103" s="96" t="s">
        <v>648</v>
      </c>
      <c r="K103" s="330" t="s">
        <v>335</v>
      </c>
      <c r="L103" s="307"/>
      <c r="M103" s="320"/>
      <c r="N103" s="320"/>
      <c r="O103" s="320"/>
      <c r="P103" s="320"/>
      <c r="Q103" s="320"/>
      <c r="R103" s="320"/>
      <c r="S103" s="320"/>
      <c r="T103" s="320"/>
      <c r="U103" s="330" t="s">
        <v>164</v>
      </c>
      <c r="V103" s="100"/>
      <c r="W103" s="100"/>
      <c r="X103" s="100"/>
      <c r="Y103" s="100"/>
      <c r="Z103" s="100"/>
      <c r="AA103" s="100"/>
      <c r="AB103" s="100"/>
      <c r="AC103" s="100"/>
      <c r="AD103" s="100"/>
      <c r="AE103" s="100"/>
      <c r="AF103" s="100"/>
      <c r="AG103" s="100"/>
      <c r="AH103" s="100" t="s">
        <v>299</v>
      </c>
      <c r="AI103" s="100"/>
      <c r="AJ103" s="100"/>
      <c r="AK103" s="100"/>
      <c r="AL103" s="100"/>
      <c r="AM103" s="100"/>
      <c r="AN103" s="100"/>
      <c r="AO103" s="100"/>
      <c r="AP103" s="100"/>
      <c r="AQ103" s="100"/>
      <c r="AR103" s="100"/>
      <c r="AS103" s="100"/>
      <c r="AT103" s="100"/>
      <c r="AU103" s="100"/>
      <c r="AV103" s="100"/>
      <c r="AW103" s="100"/>
      <c r="AX103" s="100"/>
      <c r="AY103" s="100"/>
      <c r="AZ103" s="100"/>
      <c r="BA103" s="100"/>
      <c r="BB103" s="107"/>
      <c r="BC103" s="102">
        <f>IF((SUMPRODUCT(--(V103:AV103&lt;&gt;""))=0),"0",(VLOOKUP((MATCH("X",$V103:$AV103,0)), Lists!$E$13:$G$39,3)))</f>
        <v>40</v>
      </c>
      <c r="BD103" s="103">
        <f t="shared" si="2"/>
        <v>7840</v>
      </c>
      <c r="BE103" s="103" t="str">
        <f t="shared" si="3"/>
        <v>-</v>
      </c>
      <c r="BF103" s="82"/>
      <c r="BG103" s="132" t="s">
        <v>15</v>
      </c>
      <c r="BH103" s="98" t="s">
        <v>15</v>
      </c>
      <c r="BI103" s="104">
        <f>IF(ISBLANK($BG103),"-",(IF(BD103="-","-",BD103*(Lists!$K$10/100))))</f>
        <v>1176</v>
      </c>
      <c r="BJ103" s="104">
        <f>IF(ISBLANK($BH103),"-",(IF(BD103="-","-",BD103*(Lists!$K$11/100))))</f>
        <v>784</v>
      </c>
      <c r="BK103" s="104" t="str">
        <f>IF(ISBLANK($BG103),"-",(IF(BE103="-","-",BE103*(Lists!$K$10/100))))</f>
        <v>-</v>
      </c>
      <c r="BL103" s="104" t="str">
        <f>IF(ISBLANK($BH103),"-",(IF(BE103="-","-",BE103*(Lists!$K$11/100))))</f>
        <v>-</v>
      </c>
      <c r="BM103" s="98"/>
      <c r="BN103" s="98" t="s">
        <v>15</v>
      </c>
      <c r="BO103" s="104" t="str">
        <f>IF(ISBLANK(BM103),"-",((Lists!$K$19/100)*(IF(BD103&lt;&gt;"-",BD103,BE103))))</f>
        <v>-</v>
      </c>
      <c r="BP103" s="104">
        <f>IF(ISBLANK(BN103),"-",((Lists!$K$20/100)*(IF(BD103&lt;&gt;"-",BD103,BE103))))</f>
        <v>392</v>
      </c>
    </row>
    <row r="104" spans="1:68" x14ac:dyDescent="0.25">
      <c r="A104" s="105" t="s">
        <v>85</v>
      </c>
      <c r="B104" s="128"/>
      <c r="C104" s="308"/>
      <c r="D104" s="308"/>
      <c r="E104" s="97">
        <v>196</v>
      </c>
      <c r="F104" s="97" t="s">
        <v>110</v>
      </c>
      <c r="G104" s="97">
        <v>196</v>
      </c>
      <c r="H104" s="97"/>
      <c r="I104" s="128"/>
      <c r="J104" s="96" t="s">
        <v>623</v>
      </c>
      <c r="K104" s="331"/>
      <c r="L104" s="308"/>
      <c r="M104" s="327"/>
      <c r="N104" s="327"/>
      <c r="O104" s="327"/>
      <c r="P104" s="327"/>
      <c r="Q104" s="327"/>
      <c r="R104" s="327"/>
      <c r="S104" s="327"/>
      <c r="T104" s="327"/>
      <c r="U104" s="331"/>
      <c r="V104" s="100"/>
      <c r="W104" s="100"/>
      <c r="X104" s="100"/>
      <c r="Y104" s="100"/>
      <c r="Z104" s="100"/>
      <c r="AA104" s="100"/>
      <c r="AB104" s="100"/>
      <c r="AC104" s="100"/>
      <c r="AD104" s="100"/>
      <c r="AE104" s="100"/>
      <c r="AF104" s="100"/>
      <c r="AG104" s="100"/>
      <c r="AH104" s="100"/>
      <c r="AI104" s="100"/>
      <c r="AJ104" s="100" t="s">
        <v>299</v>
      </c>
      <c r="AK104" s="100"/>
      <c r="AL104" s="100"/>
      <c r="AM104" s="100"/>
      <c r="AN104" s="100"/>
      <c r="AO104" s="100"/>
      <c r="AP104" s="100"/>
      <c r="AQ104" s="100"/>
      <c r="AR104" s="100"/>
      <c r="AS104" s="100"/>
      <c r="AT104" s="100"/>
      <c r="AU104" s="100"/>
      <c r="AV104" s="100"/>
      <c r="AW104" s="100"/>
      <c r="AX104" s="100"/>
      <c r="AY104" s="100"/>
      <c r="AZ104" s="100"/>
      <c r="BA104" s="100"/>
      <c r="BB104" s="107"/>
      <c r="BC104" s="102">
        <f>IF((SUMPRODUCT(--(V104:AV104&lt;&gt;""))=0),"0",(VLOOKUP((MATCH("X",$V104:$AV104,0)), Lists!$E$13:$G$39,3)))</f>
        <v>36</v>
      </c>
      <c r="BD104" s="103">
        <f t="shared" si="2"/>
        <v>7056</v>
      </c>
      <c r="BE104" s="103" t="str">
        <f t="shared" si="3"/>
        <v>-</v>
      </c>
      <c r="BF104" s="82"/>
      <c r="BG104" s="132"/>
      <c r="BH104" s="98"/>
      <c r="BI104" s="104" t="str">
        <f>IF(ISBLANK($BG104),"-",(IF(BD104="-","-",BD104*(Lists!$K$10/100))))</f>
        <v>-</v>
      </c>
      <c r="BJ104" s="104" t="str">
        <f>IF(ISBLANK($BH104),"-",(IF(BD104="-","-",BD104*(Lists!$K$11/100))))</f>
        <v>-</v>
      </c>
      <c r="BK104" s="104" t="str">
        <f>IF(ISBLANK($BG104),"-",(IF(BE104="-","-",BE104*(Lists!$K$10/100))))</f>
        <v>-</v>
      </c>
      <c r="BL104" s="104" t="str">
        <f>IF(ISBLANK($BH104),"-",(IF(BE104="-","-",BE104*(Lists!$K$11/100))))</f>
        <v>-</v>
      </c>
      <c r="BM104" s="98"/>
      <c r="BN104" s="98" t="s">
        <v>15</v>
      </c>
      <c r="BO104" s="104" t="str">
        <f>IF(ISBLANK(BM104),"-",((Lists!$K$19/100)*(IF(BD104&lt;&gt;"-",BD104,BE104))))</f>
        <v>-</v>
      </c>
      <c r="BP104" s="104">
        <f>IF(ISBLANK(BN104),"-",((Lists!$K$20/100)*(IF(BD104&lt;&gt;"-",BD104,BE104))))</f>
        <v>352.8</v>
      </c>
    </row>
    <row r="105" spans="1:68" ht="38.25" x14ac:dyDescent="0.25">
      <c r="A105" s="94" t="s">
        <v>85</v>
      </c>
      <c r="B105" s="82"/>
      <c r="C105" s="79" t="s">
        <v>49</v>
      </c>
      <c r="D105" s="79" t="s">
        <v>124</v>
      </c>
      <c r="E105" s="79">
        <v>60</v>
      </c>
      <c r="F105" s="79" t="s">
        <v>110</v>
      </c>
      <c r="G105" s="79">
        <v>60</v>
      </c>
      <c r="H105" s="79" t="s">
        <v>295</v>
      </c>
      <c r="I105" s="82"/>
      <c r="J105" s="161" t="s">
        <v>375</v>
      </c>
      <c r="K105" s="96" t="s">
        <v>334</v>
      </c>
      <c r="L105" s="97">
        <v>30</v>
      </c>
      <c r="M105" s="129"/>
      <c r="N105" s="129"/>
      <c r="O105" s="129"/>
      <c r="P105" s="98" t="s">
        <v>15</v>
      </c>
      <c r="Q105" s="129"/>
      <c r="R105" s="129"/>
      <c r="S105" s="129"/>
      <c r="T105" s="129"/>
      <c r="U105" s="96" t="s">
        <v>376</v>
      </c>
      <c r="V105" s="100"/>
      <c r="W105" s="100"/>
      <c r="X105" s="100"/>
      <c r="Y105" s="100"/>
      <c r="Z105" s="100"/>
      <c r="AA105" s="100"/>
      <c r="AB105" s="100"/>
      <c r="AC105" s="100"/>
      <c r="AD105" s="100"/>
      <c r="AE105" s="100"/>
      <c r="AF105" s="100"/>
      <c r="AG105" s="100" t="s">
        <v>299</v>
      </c>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7"/>
      <c r="BC105" s="102">
        <f>IF((SUMPRODUCT(--(V105:AV105&lt;&gt;""))=0),"0",(VLOOKUP((MATCH("X",$V105:$AV105,0)), Lists!$E$13:$G$39,3)))</f>
        <v>295</v>
      </c>
      <c r="BD105" s="103">
        <f t="shared" si="2"/>
        <v>17700</v>
      </c>
      <c r="BE105" s="103" t="str">
        <f t="shared" si="3"/>
        <v>-</v>
      </c>
      <c r="BF105" s="82"/>
      <c r="BG105" s="170"/>
      <c r="BH105" s="156"/>
      <c r="BI105" s="104" t="str">
        <f>IF(ISBLANK($BG105),"-",(IF(BD105="-","-",BD105*(Lists!$K$10/100))))</f>
        <v>-</v>
      </c>
      <c r="BJ105" s="104" t="str">
        <f>IF(ISBLANK($BH105),"-",(IF(BD105="-","-",BD105*(Lists!$K$11/100))))</f>
        <v>-</v>
      </c>
      <c r="BK105" s="104" t="str">
        <f>IF(ISBLANK($BG105),"-",(IF(BE105="-","-",BE105*(Lists!$K$10/100))))</f>
        <v>-</v>
      </c>
      <c r="BL105" s="104" t="str">
        <f>IF(ISBLANK($BH105),"-",(IF(BE105="-","-",BE105*(Lists!$K$11/100))))</f>
        <v>-</v>
      </c>
      <c r="BM105" s="129"/>
      <c r="BN105" s="129"/>
      <c r="BO105" s="104" t="str">
        <f>IF(ISBLANK(BM105),"-",((Lists!$K$19/100)*(IF(BD105&lt;&gt;"-",BD105,BE105))))</f>
        <v>-</v>
      </c>
      <c r="BP105" s="104" t="str">
        <f>IF(ISBLANK(BN105),"-",((Lists!$K$20/100)*(IF(BD105&lt;&gt;"-",BD105,BE105))))</f>
        <v>-</v>
      </c>
    </row>
    <row r="106" spans="1:68" x14ac:dyDescent="0.25">
      <c r="A106" s="94" t="s">
        <v>85</v>
      </c>
      <c r="B106" s="82"/>
      <c r="C106" s="79" t="s">
        <v>124</v>
      </c>
      <c r="D106" s="79" t="s">
        <v>156</v>
      </c>
      <c r="E106" s="79" t="s">
        <v>110</v>
      </c>
      <c r="F106" s="79" t="s">
        <v>110</v>
      </c>
      <c r="G106" s="79">
        <v>1</v>
      </c>
      <c r="H106" s="79" t="s">
        <v>294</v>
      </c>
      <c r="I106" s="82"/>
      <c r="J106" s="161" t="s">
        <v>291</v>
      </c>
      <c r="K106" s="96" t="s">
        <v>334</v>
      </c>
      <c r="L106" s="97">
        <v>30</v>
      </c>
      <c r="M106" s="129"/>
      <c r="N106" s="129"/>
      <c r="O106" s="129"/>
      <c r="P106" s="98"/>
      <c r="Q106" s="129"/>
      <c r="R106" s="129"/>
      <c r="S106" s="129"/>
      <c r="T106" s="129"/>
      <c r="U106" s="96"/>
      <c r="V106" s="100"/>
      <c r="W106" s="100"/>
      <c r="X106" s="100"/>
      <c r="Y106" s="100"/>
      <c r="Z106" s="100" t="s">
        <v>299</v>
      </c>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7"/>
      <c r="BC106" s="102">
        <f>IF((SUMPRODUCT(--(V106:AV106&lt;&gt;""))=0),"0",(VLOOKUP((MATCH("X",$V106:$AV106,0)), Lists!$E$13:$G$39,3)))</f>
        <v>41500</v>
      </c>
      <c r="BD106" s="103">
        <f t="shared" si="2"/>
        <v>41500</v>
      </c>
      <c r="BE106" s="103" t="str">
        <f t="shared" si="3"/>
        <v>-</v>
      </c>
      <c r="BF106" s="82"/>
      <c r="BG106" s="156"/>
      <c r="BH106" s="156"/>
      <c r="BI106" s="104" t="str">
        <f>IF(ISBLANK($BG106),"-",(IF(BD106="-","-",BD106*(Lists!$K$10/100))))</f>
        <v>-</v>
      </c>
      <c r="BJ106" s="104" t="str">
        <f>IF(ISBLANK($BH106),"-",(IF(BD106="-","-",BD106*(Lists!$K$11/100))))</f>
        <v>-</v>
      </c>
      <c r="BK106" s="104" t="str">
        <f>IF(ISBLANK($BG106),"-",(IF(BE106="-","-",BE106*(Lists!$K$10/100))))</f>
        <v>-</v>
      </c>
      <c r="BL106" s="104" t="str">
        <f>IF(ISBLANK($BH106),"-",(IF(BE106="-","-",BE106*(Lists!$K$11/100))))</f>
        <v>-</v>
      </c>
      <c r="BM106" s="129"/>
      <c r="BN106" s="129"/>
      <c r="BO106" s="104" t="str">
        <f>IF(ISBLANK(BM106),"-",((Lists!$K$19/100)*(IF(BD106&lt;&gt;"-",BD106,BE106))))</f>
        <v>-</v>
      </c>
      <c r="BP106" s="104" t="str">
        <f>IF(ISBLANK(BN106),"-",((Lists!$K$20/100)*(IF(BD106&lt;&gt;"-",BD106,BE106))))</f>
        <v>-</v>
      </c>
    </row>
    <row r="107" spans="1:68" ht="25.5" x14ac:dyDescent="0.25">
      <c r="A107" s="94" t="s">
        <v>85</v>
      </c>
      <c r="B107" s="82"/>
      <c r="C107" s="79" t="s">
        <v>124</v>
      </c>
      <c r="D107" s="79" t="s">
        <v>50</v>
      </c>
      <c r="E107" s="79">
        <v>20</v>
      </c>
      <c r="F107" s="79" t="s">
        <v>110</v>
      </c>
      <c r="G107" s="79">
        <v>20</v>
      </c>
      <c r="H107" s="79" t="s">
        <v>295</v>
      </c>
      <c r="I107" s="82"/>
      <c r="J107" s="161" t="s">
        <v>157</v>
      </c>
      <c r="K107" s="96" t="s">
        <v>334</v>
      </c>
      <c r="L107" s="97">
        <v>30</v>
      </c>
      <c r="M107" s="129"/>
      <c r="N107" s="129"/>
      <c r="O107" s="129"/>
      <c r="P107" s="98"/>
      <c r="Q107" s="98" t="s">
        <v>15</v>
      </c>
      <c r="R107" s="98" t="s">
        <v>15</v>
      </c>
      <c r="S107" s="98" t="s">
        <v>15</v>
      </c>
      <c r="T107" s="129"/>
      <c r="U107" s="96" t="s">
        <v>377</v>
      </c>
      <c r="V107" s="100"/>
      <c r="W107" s="100"/>
      <c r="X107" s="100"/>
      <c r="Y107" s="100"/>
      <c r="Z107" s="100"/>
      <c r="AA107" s="100"/>
      <c r="AB107" s="100"/>
      <c r="AC107" s="100"/>
      <c r="AD107" s="100"/>
      <c r="AE107" s="100"/>
      <c r="AF107" s="100"/>
      <c r="AG107" s="100"/>
      <c r="AH107" s="100"/>
      <c r="AI107" s="100"/>
      <c r="AJ107" s="100"/>
      <c r="AK107" s="100"/>
      <c r="AL107" s="100"/>
      <c r="AM107" s="100"/>
      <c r="AN107" s="100"/>
      <c r="AO107" s="100" t="s">
        <v>299</v>
      </c>
      <c r="AP107" s="100"/>
      <c r="AQ107" s="100"/>
      <c r="AR107" s="100"/>
      <c r="AS107" s="100"/>
      <c r="AT107" s="100"/>
      <c r="AU107" s="100"/>
      <c r="AV107" s="100"/>
      <c r="AW107" s="100"/>
      <c r="AX107" s="100"/>
      <c r="AY107" s="100"/>
      <c r="AZ107" s="100"/>
      <c r="BA107" s="100"/>
      <c r="BB107" s="107"/>
      <c r="BC107" s="102">
        <f>IF((SUMPRODUCT(--(V107:AV107&lt;&gt;""))=0),"0",(VLOOKUP((MATCH("X",$V107:$AV107,0)), Lists!$E$13:$G$39,3)))</f>
        <v>242</v>
      </c>
      <c r="BD107" s="103">
        <f t="shared" si="2"/>
        <v>4840</v>
      </c>
      <c r="BE107" s="103" t="str">
        <f t="shared" si="3"/>
        <v>-</v>
      </c>
      <c r="BF107" s="82"/>
      <c r="BG107" s="156"/>
      <c r="BH107" s="156"/>
      <c r="BI107" s="104" t="str">
        <f>IF(ISBLANK($BG107),"-",(IF(BD107="-","-",BD107*(Lists!$K$10/100))))</f>
        <v>-</v>
      </c>
      <c r="BJ107" s="104" t="str">
        <f>IF(ISBLANK($BH107),"-",(IF(BD107="-","-",BD107*(Lists!$K$11/100))))</f>
        <v>-</v>
      </c>
      <c r="BK107" s="104" t="str">
        <f>IF(ISBLANK($BG107),"-",(IF(BE107="-","-",BE107*(Lists!$K$10/100))))</f>
        <v>-</v>
      </c>
      <c r="BL107" s="104" t="str">
        <f>IF(ISBLANK($BH107),"-",(IF(BE107="-","-",BE107*(Lists!$K$11/100))))</f>
        <v>-</v>
      </c>
      <c r="BM107" s="129"/>
      <c r="BN107" s="129"/>
      <c r="BO107" s="104" t="str">
        <f>IF(ISBLANK(BM107),"-",((Lists!$K$19/100)*(IF(BD107&lt;&gt;"-",BD107,BE107))))</f>
        <v>-</v>
      </c>
      <c r="BP107" s="104" t="str">
        <f>IF(ISBLANK(BN107),"-",((Lists!$K$20/100)*(IF(BD107&lt;&gt;"-",BD107,BE107))))</f>
        <v>-</v>
      </c>
    </row>
    <row r="108" spans="1:68" x14ac:dyDescent="0.25">
      <c r="A108" s="94" t="s">
        <v>85</v>
      </c>
      <c r="B108" s="82"/>
      <c r="C108" s="79" t="s">
        <v>83</v>
      </c>
      <c r="D108" s="79" t="s">
        <v>50</v>
      </c>
      <c r="E108" s="79" t="s">
        <v>110</v>
      </c>
      <c r="F108" s="79" t="s">
        <v>110</v>
      </c>
      <c r="G108" s="79">
        <v>1</v>
      </c>
      <c r="H108" s="79" t="s">
        <v>294</v>
      </c>
      <c r="I108" s="82"/>
      <c r="J108" s="161" t="s">
        <v>291</v>
      </c>
      <c r="K108" s="96" t="s">
        <v>334</v>
      </c>
      <c r="L108" s="97">
        <v>30</v>
      </c>
      <c r="M108" s="129"/>
      <c r="N108" s="129"/>
      <c r="O108" s="129"/>
      <c r="P108" s="98"/>
      <c r="Q108" s="129"/>
      <c r="R108" s="129"/>
      <c r="S108" s="129"/>
      <c r="T108" s="129"/>
      <c r="U108" s="96"/>
      <c r="V108" s="100"/>
      <c r="W108" s="100"/>
      <c r="X108" s="100"/>
      <c r="Y108" s="100"/>
      <c r="Z108" s="100" t="s">
        <v>299</v>
      </c>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7"/>
      <c r="BC108" s="102">
        <f>IF((SUMPRODUCT(--(V108:AV108&lt;&gt;""))=0),"0",(VLOOKUP((MATCH("X",$V108:$AV108,0)), Lists!$E$13:$G$39,3)))</f>
        <v>41500</v>
      </c>
      <c r="BD108" s="103">
        <f t="shared" si="2"/>
        <v>41500</v>
      </c>
      <c r="BE108" s="103" t="str">
        <f t="shared" si="3"/>
        <v>-</v>
      </c>
      <c r="BF108" s="82"/>
      <c r="BG108" s="156"/>
      <c r="BH108" s="156"/>
      <c r="BI108" s="104" t="str">
        <f>IF(ISBLANK($BG108),"-",(IF(BD108="-","-",BD108*(Lists!$K$10/100))))</f>
        <v>-</v>
      </c>
      <c r="BJ108" s="104" t="str">
        <f>IF(ISBLANK($BH108),"-",(IF(BD108="-","-",BD108*(Lists!$K$11/100))))</f>
        <v>-</v>
      </c>
      <c r="BK108" s="104" t="str">
        <f>IF(ISBLANK($BG108),"-",(IF(BE108="-","-",BE108*(Lists!$K$10/100))))</f>
        <v>-</v>
      </c>
      <c r="BL108" s="104" t="str">
        <f>IF(ISBLANK($BH108),"-",(IF(BE108="-","-",BE108*(Lists!$K$11/100))))</f>
        <v>-</v>
      </c>
      <c r="BM108" s="129"/>
      <c r="BN108" s="129"/>
      <c r="BO108" s="104" t="str">
        <f>IF(ISBLANK(BM108),"-",((Lists!$K$19/100)*(IF(BD108&lt;&gt;"-",BD108,BE108))))</f>
        <v>-</v>
      </c>
      <c r="BP108" s="104" t="str">
        <f>IF(ISBLANK(BN108),"-",((Lists!$K$20/100)*(IF(BD108&lt;&gt;"-",BD108,BE108))))</f>
        <v>-</v>
      </c>
    </row>
    <row r="109" spans="1:68" ht="25.5" x14ac:dyDescent="0.25">
      <c r="A109" s="94" t="s">
        <v>85</v>
      </c>
      <c r="B109" s="82"/>
      <c r="C109" s="79" t="s">
        <v>50</v>
      </c>
      <c r="D109" s="79" t="s">
        <v>51</v>
      </c>
      <c r="E109" s="79">
        <v>842</v>
      </c>
      <c r="F109" s="79" t="s">
        <v>110</v>
      </c>
      <c r="G109" s="79">
        <f>E109*2</f>
        <v>1684</v>
      </c>
      <c r="H109" s="79" t="s">
        <v>295</v>
      </c>
      <c r="I109" s="82"/>
      <c r="J109" s="161" t="s">
        <v>158</v>
      </c>
      <c r="K109" s="96" t="s">
        <v>334</v>
      </c>
      <c r="L109" s="97">
        <v>30</v>
      </c>
      <c r="M109" s="129"/>
      <c r="N109" s="129"/>
      <c r="O109" s="129"/>
      <c r="P109" s="98"/>
      <c r="Q109" s="129"/>
      <c r="R109" s="129" t="s">
        <v>15</v>
      </c>
      <c r="S109" s="129"/>
      <c r="T109" s="129"/>
      <c r="U109" s="96" t="s">
        <v>451</v>
      </c>
      <c r="V109" s="100"/>
      <c r="W109" s="100"/>
      <c r="X109" s="100"/>
      <c r="Y109" s="100"/>
      <c r="Z109" s="100"/>
      <c r="AA109" s="100"/>
      <c r="AB109" s="100"/>
      <c r="AC109" s="100"/>
      <c r="AD109" s="100"/>
      <c r="AE109" s="100"/>
      <c r="AF109" s="100" t="s">
        <v>299</v>
      </c>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7"/>
      <c r="BC109" s="102">
        <f>IF((SUMPRODUCT(--(V109:AV109&lt;&gt;""))=0),"0",(VLOOKUP((MATCH("X",$V109:$AV109,0)), Lists!$E$13:$G$39,3)))</f>
        <v>355</v>
      </c>
      <c r="BD109" s="103">
        <f t="shared" si="2"/>
        <v>597820</v>
      </c>
      <c r="BE109" s="103" t="str">
        <f t="shared" si="3"/>
        <v>-</v>
      </c>
      <c r="BF109" s="82"/>
      <c r="BG109" s="156"/>
      <c r="BH109" s="156"/>
      <c r="BI109" s="104" t="str">
        <f>IF(ISBLANK($BG109),"-",(IF(BD109="-","-",BD109*(Lists!$K$10/100))))</f>
        <v>-</v>
      </c>
      <c r="BJ109" s="104" t="str">
        <f>IF(ISBLANK($BH109),"-",(IF(BD109="-","-",BD109*(Lists!$K$11/100))))</f>
        <v>-</v>
      </c>
      <c r="BK109" s="104" t="str">
        <f>IF(ISBLANK($BG109),"-",(IF(BE109="-","-",BE109*(Lists!$K$10/100))))</f>
        <v>-</v>
      </c>
      <c r="BL109" s="104" t="str">
        <f>IF(ISBLANK($BH109),"-",(IF(BE109="-","-",BE109*(Lists!$K$11/100))))</f>
        <v>-</v>
      </c>
      <c r="BM109" s="129"/>
      <c r="BN109" s="129"/>
      <c r="BO109" s="104" t="str">
        <f>IF(ISBLANK(BM109),"-",((Lists!$K$19/100)*(IF(BD109&lt;&gt;"-",BD109,BE109))))</f>
        <v>-</v>
      </c>
      <c r="BP109" s="104" t="str">
        <f>IF(ISBLANK(BN109),"-",((Lists!$K$20/100)*(IF(BD109&lt;&gt;"-",BD109,BE109))))</f>
        <v>-</v>
      </c>
    </row>
    <row r="110" spans="1:68" ht="38.25" x14ac:dyDescent="0.25">
      <c r="A110" s="94" t="s">
        <v>85</v>
      </c>
      <c r="B110" s="82"/>
      <c r="C110" s="79" t="s">
        <v>134</v>
      </c>
      <c r="D110" s="79" t="s">
        <v>51</v>
      </c>
      <c r="E110" s="79" t="s">
        <v>110</v>
      </c>
      <c r="F110" s="79" t="s">
        <v>110</v>
      </c>
      <c r="G110" s="79">
        <v>1</v>
      </c>
      <c r="H110" s="79" t="s">
        <v>294</v>
      </c>
      <c r="I110" s="82"/>
      <c r="J110" s="161" t="s">
        <v>159</v>
      </c>
      <c r="K110" s="96" t="s">
        <v>334</v>
      </c>
      <c r="L110" s="97">
        <v>30</v>
      </c>
      <c r="M110" s="129"/>
      <c r="N110" s="129" t="s">
        <v>15</v>
      </c>
      <c r="O110" s="129"/>
      <c r="P110" s="98"/>
      <c r="Q110" s="129"/>
      <c r="R110" s="129"/>
      <c r="S110" s="129"/>
      <c r="T110" s="129"/>
      <c r="U110" s="96" t="s">
        <v>378</v>
      </c>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t="s">
        <v>299</v>
      </c>
      <c r="AZ110" s="100"/>
      <c r="BA110" s="100"/>
      <c r="BB110" s="134">
        <v>80000</v>
      </c>
      <c r="BC110" s="102" t="str">
        <f>IF((SUMPRODUCT(--(V110:AV110&lt;&gt;""))=0),"0",(VLOOKUP((MATCH("X",$V110:$AV110,0)), Lists!$E$13:$G$39,3)))</f>
        <v>0</v>
      </c>
      <c r="BD110" s="103">
        <f t="shared" si="2"/>
        <v>80000</v>
      </c>
      <c r="BE110" s="103" t="str">
        <f t="shared" si="3"/>
        <v>-</v>
      </c>
      <c r="BF110" s="82" t="s">
        <v>469</v>
      </c>
      <c r="BG110" s="156"/>
      <c r="BH110" s="156"/>
      <c r="BI110" s="104" t="str">
        <f>IF(ISBLANK($BG110),"-",(IF(BD110="-","-",BD110*(Lists!$K$10/100))))</f>
        <v>-</v>
      </c>
      <c r="BJ110" s="104" t="str">
        <f>IF(ISBLANK($BH110),"-",(IF(BD110="-","-",BD110*(Lists!$K$11/100))))</f>
        <v>-</v>
      </c>
      <c r="BK110" s="104" t="str">
        <f>IF(ISBLANK($BG110),"-",(IF(BE110="-","-",BE110*(Lists!$K$10/100))))</f>
        <v>-</v>
      </c>
      <c r="BL110" s="104" t="str">
        <f>IF(ISBLANK($BH110),"-",(IF(BE110="-","-",BE110*(Lists!$K$11/100))))</f>
        <v>-</v>
      </c>
      <c r="BM110" s="129"/>
      <c r="BN110" s="129"/>
      <c r="BO110" s="104" t="str">
        <f>IF(ISBLANK(BM110),"-",((Lists!$K$19/100)*(IF(BD110&lt;&gt;"-",BD110,BE110))))</f>
        <v>-</v>
      </c>
      <c r="BP110" s="104" t="str">
        <f>IF(ISBLANK(BN110),"-",((Lists!$K$20/100)*(IF(BD110&lt;&gt;"-",BD110,BE110))))</f>
        <v>-</v>
      </c>
    </row>
    <row r="111" spans="1:68" ht="25.5" x14ac:dyDescent="0.25">
      <c r="A111" s="94" t="s">
        <v>85</v>
      </c>
      <c r="B111" s="82"/>
      <c r="C111" s="79" t="s">
        <v>134</v>
      </c>
      <c r="D111" s="79" t="s">
        <v>52</v>
      </c>
      <c r="E111" s="79">
        <v>544</v>
      </c>
      <c r="F111" s="79" t="s">
        <v>110</v>
      </c>
      <c r="G111" s="79">
        <v>544</v>
      </c>
      <c r="H111" s="79" t="s">
        <v>295</v>
      </c>
      <c r="I111" s="82"/>
      <c r="J111" s="161" t="s">
        <v>160</v>
      </c>
      <c r="K111" s="96" t="s">
        <v>334</v>
      </c>
      <c r="L111" s="97">
        <v>30</v>
      </c>
      <c r="M111" s="129"/>
      <c r="N111" s="129"/>
      <c r="O111" s="129"/>
      <c r="P111" s="98"/>
      <c r="Q111" s="98" t="s">
        <v>15</v>
      </c>
      <c r="R111" s="98" t="s">
        <v>15</v>
      </c>
      <c r="S111" s="98" t="s">
        <v>15</v>
      </c>
      <c r="T111" s="129"/>
      <c r="U111" s="96" t="s">
        <v>377</v>
      </c>
      <c r="V111" s="100"/>
      <c r="W111" s="100"/>
      <c r="X111" s="100"/>
      <c r="Y111" s="100"/>
      <c r="Z111" s="100"/>
      <c r="AA111" s="100"/>
      <c r="AB111" s="100"/>
      <c r="AC111" s="100"/>
      <c r="AD111" s="100"/>
      <c r="AE111" s="100"/>
      <c r="AF111" s="100"/>
      <c r="AG111" s="100"/>
      <c r="AH111" s="100"/>
      <c r="AI111" s="100"/>
      <c r="AJ111" s="100"/>
      <c r="AK111" s="100"/>
      <c r="AL111" s="100"/>
      <c r="AM111" s="100"/>
      <c r="AN111" s="100"/>
      <c r="AO111" s="100" t="s">
        <v>299</v>
      </c>
      <c r="AP111" s="100"/>
      <c r="AQ111" s="100"/>
      <c r="AR111" s="100"/>
      <c r="AS111" s="100"/>
      <c r="AT111" s="100"/>
      <c r="AU111" s="100"/>
      <c r="AV111" s="100"/>
      <c r="AW111" s="100"/>
      <c r="AX111" s="100"/>
      <c r="AY111" s="100"/>
      <c r="AZ111" s="100"/>
      <c r="BA111" s="100"/>
      <c r="BB111" s="107"/>
      <c r="BC111" s="102">
        <f>IF((SUMPRODUCT(--(V111:AV111&lt;&gt;""))=0),"0",(VLOOKUP((MATCH("X",$V111:$AV111,0)), Lists!$E$13:$G$39,3)))</f>
        <v>242</v>
      </c>
      <c r="BD111" s="103">
        <f t="shared" si="2"/>
        <v>131648</v>
      </c>
      <c r="BE111" s="103" t="str">
        <f t="shared" si="3"/>
        <v>-</v>
      </c>
      <c r="BF111" s="82"/>
      <c r="BG111" s="156"/>
      <c r="BH111" s="156"/>
      <c r="BI111" s="104" t="str">
        <f>IF(ISBLANK($BG111),"-",(IF(BD111="-","-",BD111*(Lists!$K$10/100))))</f>
        <v>-</v>
      </c>
      <c r="BJ111" s="104" t="str">
        <f>IF(ISBLANK($BH111),"-",(IF(BD111="-","-",BD111*(Lists!$K$11/100))))</f>
        <v>-</v>
      </c>
      <c r="BK111" s="104" t="str">
        <f>IF(ISBLANK($BG111),"-",(IF(BE111="-","-",BE111*(Lists!$K$10/100))))</f>
        <v>-</v>
      </c>
      <c r="BL111" s="104" t="str">
        <f>IF(ISBLANK($BH111),"-",(IF(BE111="-","-",BE111*(Lists!$K$11/100))))</f>
        <v>-</v>
      </c>
      <c r="BM111" s="129"/>
      <c r="BN111" s="129"/>
      <c r="BO111" s="104" t="str">
        <f>IF(ISBLANK(BM111),"-",((Lists!$K$19/100)*(IF(BD111&lt;&gt;"-",BD111,BE111))))</f>
        <v>-</v>
      </c>
      <c r="BP111" s="104" t="str">
        <f>IF(ISBLANK(BN111),"-",((Lists!$K$20/100)*(IF(BD111&lt;&gt;"-",BD111,BE111))))</f>
        <v>-</v>
      </c>
    </row>
    <row r="112" spans="1:68" x14ac:dyDescent="0.25">
      <c r="A112" s="94" t="s">
        <v>85</v>
      </c>
      <c r="B112" s="82"/>
      <c r="C112" s="79" t="s">
        <v>52</v>
      </c>
      <c r="D112" s="79" t="s">
        <v>135</v>
      </c>
      <c r="E112" s="79">
        <v>138</v>
      </c>
      <c r="F112" s="79">
        <v>5.5</v>
      </c>
      <c r="G112" s="79">
        <f>E112*F112</f>
        <v>759</v>
      </c>
      <c r="H112" s="79" t="s">
        <v>300</v>
      </c>
      <c r="I112" s="82"/>
      <c r="J112" s="161" t="s">
        <v>379</v>
      </c>
      <c r="K112" s="96" t="s">
        <v>339</v>
      </c>
      <c r="L112" s="97"/>
      <c r="M112" s="129"/>
      <c r="N112" s="129"/>
      <c r="O112" s="129"/>
      <c r="P112" s="98"/>
      <c r="Q112" s="98"/>
      <c r="R112" s="98"/>
      <c r="S112" s="98"/>
      <c r="T112" s="129"/>
      <c r="U112" s="96"/>
      <c r="V112" s="100"/>
      <c r="W112" s="100"/>
      <c r="X112" s="100"/>
      <c r="Y112" s="100"/>
      <c r="Z112" s="100"/>
      <c r="AA112" s="100"/>
      <c r="AB112" s="100"/>
      <c r="AC112" s="100"/>
      <c r="AD112" s="100"/>
      <c r="AE112" s="100"/>
      <c r="AF112" s="100"/>
      <c r="AG112" s="100"/>
      <c r="AH112" s="100"/>
      <c r="AI112" s="100" t="s">
        <v>299</v>
      </c>
      <c r="AJ112" s="100"/>
      <c r="AK112" s="100"/>
      <c r="AL112" s="100"/>
      <c r="AM112" s="100"/>
      <c r="AN112" s="100"/>
      <c r="AO112" s="100"/>
      <c r="AP112" s="100"/>
      <c r="AQ112" s="100"/>
      <c r="AR112" s="100"/>
      <c r="AS112" s="100"/>
      <c r="AT112" s="100"/>
      <c r="AU112" s="100"/>
      <c r="AV112" s="100"/>
      <c r="AW112" s="100"/>
      <c r="AX112" s="100"/>
      <c r="AY112" s="100"/>
      <c r="AZ112" s="100"/>
      <c r="BA112" s="100"/>
      <c r="BB112" s="107"/>
      <c r="BC112" s="102">
        <f>IF((SUMPRODUCT(--(V112:AV112&lt;&gt;""))=0),"0",(VLOOKUP((MATCH("X",$V112:$AV112,0)), Lists!$E$13:$G$39,3)))</f>
        <v>65</v>
      </c>
      <c r="BD112" s="103">
        <f t="shared" si="2"/>
        <v>49335</v>
      </c>
      <c r="BE112" s="103" t="str">
        <f t="shared" si="3"/>
        <v>-</v>
      </c>
      <c r="BF112" s="82"/>
      <c r="BG112" s="98" t="s">
        <v>15</v>
      </c>
      <c r="BH112" s="98" t="s">
        <v>15</v>
      </c>
      <c r="BI112" s="104">
        <f>IF(ISBLANK($BG112),"-",(IF(BD112="-","-",BD112*(Lists!$K$10/100))))</f>
        <v>7400.25</v>
      </c>
      <c r="BJ112" s="104">
        <f>IF(ISBLANK($BH112),"-",(IF(BD112="-","-",BD112*(Lists!$K$11/100))))</f>
        <v>4933.5</v>
      </c>
      <c r="BK112" s="104" t="str">
        <f>IF(ISBLANK($BG112),"-",(IF(BE112="-","-",BE112*(Lists!$K$10/100))))</f>
        <v>-</v>
      </c>
      <c r="BL112" s="104" t="str">
        <f>IF(ISBLANK($BH112),"-",(IF(BE112="-","-",BE112*(Lists!$K$11/100))))</f>
        <v>-</v>
      </c>
      <c r="BM112" s="129"/>
      <c r="BN112" s="98" t="s">
        <v>15</v>
      </c>
      <c r="BO112" s="104" t="str">
        <f>IF(ISBLANK(BM112),"-",((Lists!$K$19/100)*(IF(BD112&lt;&gt;"-",BD112,BE112))))</f>
        <v>-</v>
      </c>
      <c r="BP112" s="104">
        <f>IF(ISBLANK(BN112),"-",((Lists!$K$20/100)*(IF(BD112&lt;&gt;"-",BD112,BE112))))</f>
        <v>2466.75</v>
      </c>
    </row>
    <row r="113" spans="1:68" x14ac:dyDescent="0.25">
      <c r="A113" s="130" t="s">
        <v>85</v>
      </c>
      <c r="B113" s="130"/>
      <c r="C113" s="307" t="s">
        <v>135</v>
      </c>
      <c r="D113" s="307" t="s">
        <v>136</v>
      </c>
      <c r="E113" s="307">
        <v>252</v>
      </c>
      <c r="F113" s="97" t="s">
        <v>110</v>
      </c>
      <c r="G113" s="97">
        <v>252</v>
      </c>
      <c r="H113" s="97" t="s">
        <v>295</v>
      </c>
      <c r="I113" s="128"/>
      <c r="J113" s="96" t="s">
        <v>97</v>
      </c>
      <c r="K113" s="314" t="s">
        <v>682</v>
      </c>
      <c r="L113" s="307"/>
      <c r="M113" s="320"/>
      <c r="N113" s="320" t="s">
        <v>15</v>
      </c>
      <c r="O113" s="320"/>
      <c r="P113" s="320"/>
      <c r="Q113" s="320"/>
      <c r="R113" s="320"/>
      <c r="S113" s="320"/>
      <c r="T113" s="320"/>
      <c r="U113" s="330" t="s">
        <v>481</v>
      </c>
      <c r="V113" s="100"/>
      <c r="W113" s="100"/>
      <c r="X113" s="100"/>
      <c r="Y113" s="100"/>
      <c r="Z113" s="100"/>
      <c r="AA113" s="100" t="s">
        <v>299</v>
      </c>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7"/>
      <c r="BC113" s="102">
        <f>IF((SUMPRODUCT(--(V113:AV113&lt;&gt;""))=0),"0",(VLOOKUP((MATCH("X",$V113:$AV113,0)), Lists!$E$13:$G$39,3)))</f>
        <v>155</v>
      </c>
      <c r="BD113" s="103">
        <f t="shared" si="2"/>
        <v>39060</v>
      </c>
      <c r="BE113" s="103" t="str">
        <f t="shared" si="3"/>
        <v>-</v>
      </c>
      <c r="BF113" s="82"/>
      <c r="BG113" s="98" t="s">
        <v>15</v>
      </c>
      <c r="BH113" s="98" t="s">
        <v>15</v>
      </c>
      <c r="BI113" s="104">
        <f>IF(ISBLANK($BG113),"-",(IF(BD113="-","-",BD113*(Lists!$K$10/100))))</f>
        <v>5859</v>
      </c>
      <c r="BJ113" s="104">
        <f>IF(ISBLANK($BH113),"-",(IF(BD113="-","-",BD113*(Lists!$K$11/100))))</f>
        <v>3906</v>
      </c>
      <c r="BK113" s="104" t="str">
        <f>IF(ISBLANK($BG113),"-",(IF(BE113="-","-",BE113*(Lists!$K$10/100))))</f>
        <v>-</v>
      </c>
      <c r="BL113" s="104" t="str">
        <f>IF(ISBLANK($BH113),"-",(IF(BE113="-","-",BE113*(Lists!$K$11/100))))</f>
        <v>-</v>
      </c>
      <c r="BM113" s="129"/>
      <c r="BN113" s="98" t="s">
        <v>15</v>
      </c>
      <c r="BO113" s="104" t="str">
        <f>IF(ISBLANK(BM113),"-",((Lists!$K$19/100)*(IF(BD113&lt;&gt;"-",BD113,BE113))))</f>
        <v>-</v>
      </c>
      <c r="BP113" s="104">
        <f>IF(ISBLANK(BN113),"-",((Lists!$K$20/100)*(IF(BD113&lt;&gt;"-",BD113,BE113))))</f>
        <v>1953</v>
      </c>
    </row>
    <row r="114" spans="1:68" x14ac:dyDescent="0.25">
      <c r="A114" s="130" t="s">
        <v>85</v>
      </c>
      <c r="B114" s="149"/>
      <c r="C114" s="313"/>
      <c r="D114" s="313"/>
      <c r="E114" s="311"/>
      <c r="F114" s="97" t="s">
        <v>110</v>
      </c>
      <c r="G114" s="97">
        <v>252</v>
      </c>
      <c r="H114" s="97" t="s">
        <v>295</v>
      </c>
      <c r="I114" s="128"/>
      <c r="J114" s="96" t="s">
        <v>380</v>
      </c>
      <c r="K114" s="335"/>
      <c r="L114" s="313"/>
      <c r="M114" s="321"/>
      <c r="N114" s="321"/>
      <c r="O114" s="321"/>
      <c r="P114" s="321"/>
      <c r="Q114" s="321"/>
      <c r="R114" s="321"/>
      <c r="S114" s="321"/>
      <c r="T114" s="321"/>
      <c r="U114" s="337"/>
      <c r="V114" s="100"/>
      <c r="W114" s="100"/>
      <c r="X114" s="100"/>
      <c r="Y114" s="100"/>
      <c r="Z114" s="100"/>
      <c r="AA114" s="100"/>
      <c r="AB114" s="100"/>
      <c r="AC114" s="100"/>
      <c r="AD114" s="100"/>
      <c r="AE114" s="100"/>
      <c r="AF114" s="100"/>
      <c r="AG114" s="100"/>
      <c r="AH114" s="100" t="s">
        <v>299</v>
      </c>
      <c r="AI114" s="100"/>
      <c r="AJ114" s="100"/>
      <c r="AK114" s="100"/>
      <c r="AL114" s="100"/>
      <c r="AM114" s="100"/>
      <c r="AN114" s="100"/>
      <c r="AO114" s="100"/>
      <c r="AP114" s="100"/>
      <c r="AQ114" s="100"/>
      <c r="AR114" s="100"/>
      <c r="AS114" s="100"/>
      <c r="AT114" s="100"/>
      <c r="AU114" s="100"/>
      <c r="AV114" s="100"/>
      <c r="AW114" s="100"/>
      <c r="AX114" s="100"/>
      <c r="AY114" s="100"/>
      <c r="AZ114" s="100"/>
      <c r="BA114" s="100"/>
      <c r="BB114" s="107"/>
      <c r="BC114" s="102">
        <f>IF((SUMPRODUCT(--(V114:AV114&lt;&gt;""))=0),"0",(VLOOKUP((MATCH("X",$V114:$AV114,0)), Lists!$E$13:$G$39,3)))</f>
        <v>40</v>
      </c>
      <c r="BD114" s="103">
        <f t="shared" si="2"/>
        <v>10080</v>
      </c>
      <c r="BE114" s="103" t="str">
        <f t="shared" si="3"/>
        <v>-</v>
      </c>
      <c r="BF114" s="82"/>
      <c r="BG114" s="98" t="s">
        <v>15</v>
      </c>
      <c r="BH114" s="98" t="s">
        <v>15</v>
      </c>
      <c r="BI114" s="104">
        <f>IF(ISBLANK($BG114),"-",(IF(BD114="-","-",BD114*(Lists!$K$10/100))))</f>
        <v>1512</v>
      </c>
      <c r="BJ114" s="104">
        <f>IF(ISBLANK($BH114),"-",(IF(BD114="-","-",BD114*(Lists!$K$11/100))))</f>
        <v>1008</v>
      </c>
      <c r="BK114" s="104" t="str">
        <f>IF(ISBLANK($BG114),"-",(IF(BE114="-","-",BE114*(Lists!$K$10/100))))</f>
        <v>-</v>
      </c>
      <c r="BL114" s="104" t="str">
        <f>IF(ISBLANK($BH114),"-",(IF(BE114="-","-",BE114*(Lists!$K$11/100))))</f>
        <v>-</v>
      </c>
      <c r="BM114" s="98"/>
      <c r="BN114" s="98" t="s">
        <v>15</v>
      </c>
      <c r="BO114" s="104" t="str">
        <f>IF(ISBLANK(BM114),"-",((Lists!$K$19/100)*(IF(BD114&lt;&gt;"-",BD114,BE114))))</f>
        <v>-</v>
      </c>
      <c r="BP114" s="104">
        <f>IF(ISBLANK(BN114),"-",((Lists!$K$20/100)*(IF(BD114&lt;&gt;"-",BD114,BE114))))</f>
        <v>504</v>
      </c>
    </row>
    <row r="115" spans="1:68" x14ac:dyDescent="0.25">
      <c r="A115" s="130" t="s">
        <v>85</v>
      </c>
      <c r="B115" s="131"/>
      <c r="C115" s="308"/>
      <c r="D115" s="308"/>
      <c r="E115" s="312"/>
      <c r="F115" s="97" t="s">
        <v>110</v>
      </c>
      <c r="G115" s="97">
        <v>504</v>
      </c>
      <c r="H115" s="97" t="s">
        <v>295</v>
      </c>
      <c r="I115" s="128"/>
      <c r="J115" s="96" t="s">
        <v>381</v>
      </c>
      <c r="K115" s="316"/>
      <c r="L115" s="308"/>
      <c r="M115" s="327"/>
      <c r="N115" s="327"/>
      <c r="O115" s="327"/>
      <c r="P115" s="327"/>
      <c r="Q115" s="327"/>
      <c r="R115" s="327"/>
      <c r="S115" s="327"/>
      <c r="T115" s="327"/>
      <c r="U115" s="331"/>
      <c r="V115" s="100"/>
      <c r="W115" s="100"/>
      <c r="X115" s="100"/>
      <c r="Y115" s="100"/>
      <c r="Z115" s="100"/>
      <c r="AA115" s="100"/>
      <c r="AB115" s="100"/>
      <c r="AC115" s="100"/>
      <c r="AD115" s="100"/>
      <c r="AE115" s="100"/>
      <c r="AF115" s="100"/>
      <c r="AG115" s="100"/>
      <c r="AH115" s="100"/>
      <c r="AI115" s="100"/>
      <c r="AJ115" s="100" t="s">
        <v>299</v>
      </c>
      <c r="AK115" s="100"/>
      <c r="AL115" s="100"/>
      <c r="AM115" s="100"/>
      <c r="AN115" s="100"/>
      <c r="AO115" s="100"/>
      <c r="AP115" s="100"/>
      <c r="AQ115" s="100"/>
      <c r="AR115" s="100"/>
      <c r="AS115" s="100"/>
      <c r="AT115" s="100"/>
      <c r="AU115" s="100"/>
      <c r="AV115" s="100"/>
      <c r="AW115" s="100"/>
      <c r="AX115" s="100"/>
      <c r="AY115" s="100"/>
      <c r="AZ115" s="100"/>
      <c r="BA115" s="100"/>
      <c r="BB115" s="107"/>
      <c r="BC115" s="102">
        <f>IF((SUMPRODUCT(--(V115:AV115&lt;&gt;""))=0),"0",(VLOOKUP((MATCH("X",$V115:$AV115,0)), Lists!$E$13:$G$39,3)))</f>
        <v>36</v>
      </c>
      <c r="BD115" s="103">
        <f t="shared" si="2"/>
        <v>18144</v>
      </c>
      <c r="BE115" s="103" t="str">
        <f t="shared" si="3"/>
        <v>-</v>
      </c>
      <c r="BF115" s="82"/>
      <c r="BG115" s="98" t="s">
        <v>15</v>
      </c>
      <c r="BH115" s="98" t="s">
        <v>15</v>
      </c>
      <c r="BI115" s="104">
        <f>IF(ISBLANK($BG115),"-",(IF(BD115="-","-",BD115*(Lists!$K$10/100))))</f>
        <v>2721.6</v>
      </c>
      <c r="BJ115" s="104">
        <f>IF(ISBLANK($BH115),"-",(IF(BD115="-","-",BD115*(Lists!$K$11/100))))</f>
        <v>1814.4</v>
      </c>
      <c r="BK115" s="104" t="str">
        <f>IF(ISBLANK($BG115),"-",(IF(BE115="-","-",BE115*(Lists!$K$10/100))))</f>
        <v>-</v>
      </c>
      <c r="BL115" s="104" t="str">
        <f>IF(ISBLANK($BH115),"-",(IF(BE115="-","-",BE115*(Lists!$K$11/100))))</f>
        <v>-</v>
      </c>
      <c r="BM115" s="98"/>
      <c r="BN115" s="98" t="s">
        <v>15</v>
      </c>
      <c r="BO115" s="104" t="str">
        <f>IF(ISBLANK(BM115),"-",((Lists!$K$19/100)*(IF(BD115&lt;&gt;"-",BD115,BE115))))</f>
        <v>-</v>
      </c>
      <c r="BP115" s="104">
        <f>IF(ISBLANK(BN115),"-",((Lists!$K$20/100)*(IF(BD115&lt;&gt;"-",BD115,BE115))))</f>
        <v>907.2</v>
      </c>
    </row>
    <row r="116" spans="1:68" ht="25.5" x14ac:dyDescent="0.25">
      <c r="A116" s="94" t="s">
        <v>85</v>
      </c>
      <c r="B116" s="82"/>
      <c r="C116" s="79" t="s">
        <v>136</v>
      </c>
      <c r="D116" s="79" t="s">
        <v>137</v>
      </c>
      <c r="E116" s="79">
        <v>60</v>
      </c>
      <c r="F116" s="79">
        <v>2.5</v>
      </c>
      <c r="G116" s="79">
        <f>E116*F116</f>
        <v>150</v>
      </c>
      <c r="H116" s="79" t="s">
        <v>300</v>
      </c>
      <c r="I116" s="82"/>
      <c r="J116" s="161" t="s">
        <v>379</v>
      </c>
      <c r="K116" s="96" t="s">
        <v>682</v>
      </c>
      <c r="L116" s="97"/>
      <c r="M116" s="129"/>
      <c r="N116" s="129"/>
      <c r="O116" s="129"/>
      <c r="P116" s="98"/>
      <c r="Q116" s="98"/>
      <c r="R116" s="98"/>
      <c r="S116" s="98"/>
      <c r="T116" s="129"/>
      <c r="U116" s="96" t="s">
        <v>452</v>
      </c>
      <c r="V116" s="100"/>
      <c r="W116" s="100"/>
      <c r="X116" s="100"/>
      <c r="Y116" s="100"/>
      <c r="Z116" s="100"/>
      <c r="AA116" s="100"/>
      <c r="AB116" s="100"/>
      <c r="AC116" s="100"/>
      <c r="AD116" s="100"/>
      <c r="AE116" s="100"/>
      <c r="AF116" s="100"/>
      <c r="AG116" s="100"/>
      <c r="AH116" s="100"/>
      <c r="AI116" s="100" t="s">
        <v>299</v>
      </c>
      <c r="AJ116" s="100"/>
      <c r="AK116" s="100"/>
      <c r="AL116" s="100"/>
      <c r="AM116" s="100"/>
      <c r="AN116" s="100"/>
      <c r="AO116" s="100"/>
      <c r="AP116" s="100"/>
      <c r="AQ116" s="100"/>
      <c r="AR116" s="100"/>
      <c r="AS116" s="100"/>
      <c r="AT116" s="100"/>
      <c r="AU116" s="100"/>
      <c r="AV116" s="100"/>
      <c r="AW116" s="100"/>
      <c r="AX116" s="100"/>
      <c r="AY116" s="100"/>
      <c r="AZ116" s="100"/>
      <c r="BA116" s="100"/>
      <c r="BB116" s="107"/>
      <c r="BC116" s="102">
        <f>IF((SUMPRODUCT(--(V116:AV116&lt;&gt;""))=0),"0",(VLOOKUP((MATCH("X",$V116:$AV116,0)), Lists!$E$13:$G$39,3)))</f>
        <v>65</v>
      </c>
      <c r="BD116" s="103">
        <f t="shared" si="2"/>
        <v>9750</v>
      </c>
      <c r="BE116" s="103" t="str">
        <f t="shared" si="3"/>
        <v>-</v>
      </c>
      <c r="BF116" s="82"/>
      <c r="BG116" s="98" t="s">
        <v>15</v>
      </c>
      <c r="BH116" s="98" t="s">
        <v>15</v>
      </c>
      <c r="BI116" s="104">
        <f>IF(ISBLANK($BG116),"-",(IF(BD116="-","-",BD116*(Lists!$K$10/100))))</f>
        <v>1462.5</v>
      </c>
      <c r="BJ116" s="104">
        <f>IF(ISBLANK($BH116),"-",(IF(BD116="-","-",BD116*(Lists!$K$11/100))))</f>
        <v>975</v>
      </c>
      <c r="BK116" s="104" t="str">
        <f>IF(ISBLANK($BG116),"-",(IF(BE116="-","-",BE116*(Lists!$K$10/100))))</f>
        <v>-</v>
      </c>
      <c r="BL116" s="104" t="str">
        <f>IF(ISBLANK($BH116),"-",(IF(BE116="-","-",BE116*(Lists!$K$11/100))))</f>
        <v>-</v>
      </c>
      <c r="BM116" s="129"/>
      <c r="BN116" s="98" t="s">
        <v>15</v>
      </c>
      <c r="BO116" s="104" t="str">
        <f>IF(ISBLANK(BM116),"-",((Lists!$K$19/100)*(IF(BD116&lt;&gt;"-",BD116,BE116))))</f>
        <v>-</v>
      </c>
      <c r="BP116" s="104">
        <f>IF(ISBLANK(BN116),"-",((Lists!$K$20/100)*(IF(BD116&lt;&gt;"-",BD116,BE116))))</f>
        <v>487.5</v>
      </c>
    </row>
    <row r="117" spans="1:68" x14ac:dyDescent="0.25">
      <c r="A117" s="130" t="s">
        <v>85</v>
      </c>
      <c r="B117" s="130"/>
      <c r="C117" s="307" t="s">
        <v>137</v>
      </c>
      <c r="D117" s="307" t="s">
        <v>56</v>
      </c>
      <c r="E117" s="307">
        <v>382</v>
      </c>
      <c r="F117" s="307" t="s">
        <v>110</v>
      </c>
      <c r="G117" s="97">
        <v>382</v>
      </c>
      <c r="H117" s="97" t="s">
        <v>295</v>
      </c>
      <c r="I117" s="128"/>
      <c r="J117" s="96" t="s">
        <v>97</v>
      </c>
      <c r="K117" s="314" t="s">
        <v>682</v>
      </c>
      <c r="L117" s="307"/>
      <c r="M117" s="320"/>
      <c r="N117" s="320" t="s">
        <v>15</v>
      </c>
      <c r="O117" s="320"/>
      <c r="P117" s="320"/>
      <c r="Q117" s="320"/>
      <c r="R117" s="320"/>
      <c r="S117" s="320"/>
      <c r="T117" s="320"/>
      <c r="U117" s="330" t="s">
        <v>482</v>
      </c>
      <c r="V117" s="100"/>
      <c r="W117" s="100"/>
      <c r="X117" s="100"/>
      <c r="Y117" s="100"/>
      <c r="Z117" s="100"/>
      <c r="AA117" s="100" t="s">
        <v>299</v>
      </c>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7"/>
      <c r="BC117" s="102">
        <f>IF((SUMPRODUCT(--(V117:AV117&lt;&gt;""))=0),"0",(VLOOKUP((MATCH("X",$V117:$AV117,0)), Lists!$E$13:$G$39,3)))</f>
        <v>155</v>
      </c>
      <c r="BD117" s="103">
        <f t="shared" si="2"/>
        <v>59210</v>
      </c>
      <c r="BE117" s="103" t="str">
        <f t="shared" si="3"/>
        <v>-</v>
      </c>
      <c r="BF117" s="82"/>
      <c r="BG117" s="98" t="s">
        <v>15</v>
      </c>
      <c r="BH117" s="98" t="s">
        <v>15</v>
      </c>
      <c r="BI117" s="104">
        <f>IF(ISBLANK($BG117),"-",(IF(BD117="-","-",BD117*(Lists!$K$10/100))))</f>
        <v>8881.5</v>
      </c>
      <c r="BJ117" s="104">
        <f>IF(ISBLANK($BH117),"-",(IF(BD117="-","-",BD117*(Lists!$K$11/100))))</f>
        <v>5921</v>
      </c>
      <c r="BK117" s="104" t="str">
        <f>IF(ISBLANK($BG117),"-",(IF(BE117="-","-",BE117*(Lists!$K$10/100))))</f>
        <v>-</v>
      </c>
      <c r="BL117" s="104" t="str">
        <f>IF(ISBLANK($BH117),"-",(IF(BE117="-","-",BE117*(Lists!$K$11/100))))</f>
        <v>-</v>
      </c>
      <c r="BM117" s="129"/>
      <c r="BN117" s="98" t="s">
        <v>15</v>
      </c>
      <c r="BO117" s="104" t="str">
        <f>IF(ISBLANK(BM117),"-",((Lists!$K$19/100)*(IF(BD117&lt;&gt;"-",BD117,BE117))))</f>
        <v>-</v>
      </c>
      <c r="BP117" s="104">
        <f>IF(ISBLANK(BN117),"-",((Lists!$K$20/100)*(IF(BD117&lt;&gt;"-",BD117,BE117))))</f>
        <v>2960.5</v>
      </c>
    </row>
    <row r="118" spans="1:68" x14ac:dyDescent="0.25">
      <c r="A118" s="130" t="s">
        <v>85</v>
      </c>
      <c r="B118" s="149"/>
      <c r="C118" s="313"/>
      <c r="D118" s="313"/>
      <c r="E118" s="313"/>
      <c r="F118" s="313"/>
      <c r="G118" s="97">
        <v>382</v>
      </c>
      <c r="H118" s="97" t="s">
        <v>295</v>
      </c>
      <c r="I118" s="128"/>
      <c r="J118" s="96" t="s">
        <v>382</v>
      </c>
      <c r="K118" s="335"/>
      <c r="L118" s="313"/>
      <c r="M118" s="321"/>
      <c r="N118" s="321"/>
      <c r="O118" s="321"/>
      <c r="P118" s="321"/>
      <c r="Q118" s="321"/>
      <c r="R118" s="321"/>
      <c r="S118" s="321"/>
      <c r="T118" s="321"/>
      <c r="U118" s="337"/>
      <c r="V118" s="100"/>
      <c r="W118" s="100"/>
      <c r="X118" s="100"/>
      <c r="Y118" s="100"/>
      <c r="Z118" s="100"/>
      <c r="AA118" s="100"/>
      <c r="AB118" s="100"/>
      <c r="AC118" s="100"/>
      <c r="AD118" s="100"/>
      <c r="AE118" s="100"/>
      <c r="AF118" s="100"/>
      <c r="AG118" s="100"/>
      <c r="AH118" s="100" t="s">
        <v>299</v>
      </c>
      <c r="AI118" s="100"/>
      <c r="AJ118" s="100"/>
      <c r="AK118" s="100"/>
      <c r="AL118" s="100"/>
      <c r="AM118" s="100"/>
      <c r="AN118" s="100"/>
      <c r="AO118" s="100"/>
      <c r="AP118" s="100"/>
      <c r="AQ118" s="100"/>
      <c r="AR118" s="100"/>
      <c r="AS118" s="100"/>
      <c r="AT118" s="100"/>
      <c r="AU118" s="100"/>
      <c r="AV118" s="100"/>
      <c r="AW118" s="100"/>
      <c r="AX118" s="100"/>
      <c r="AY118" s="100"/>
      <c r="AZ118" s="100"/>
      <c r="BA118" s="100"/>
      <c r="BB118" s="107"/>
      <c r="BC118" s="102">
        <f>IF((SUMPRODUCT(--(V118:AV118&lt;&gt;""))=0),"0",(VLOOKUP((MATCH("X",$V118:$AV118,0)), Lists!$E$13:$G$39,3)))</f>
        <v>40</v>
      </c>
      <c r="BD118" s="103">
        <f t="shared" si="2"/>
        <v>15280</v>
      </c>
      <c r="BE118" s="103" t="str">
        <f t="shared" si="3"/>
        <v>-</v>
      </c>
      <c r="BF118" s="82"/>
      <c r="BG118" s="98" t="s">
        <v>15</v>
      </c>
      <c r="BH118" s="98" t="s">
        <v>15</v>
      </c>
      <c r="BI118" s="104">
        <f>IF(ISBLANK($BG118),"-",(IF(BD118="-","-",BD118*(Lists!$K$10/100))))</f>
        <v>2292</v>
      </c>
      <c r="BJ118" s="104">
        <f>IF(ISBLANK($BH118),"-",(IF(BD118="-","-",BD118*(Lists!$K$11/100))))</f>
        <v>1528</v>
      </c>
      <c r="BK118" s="104" t="str">
        <f>IF(ISBLANK($BG118),"-",(IF(BE118="-","-",BE118*(Lists!$K$10/100))))</f>
        <v>-</v>
      </c>
      <c r="BL118" s="104" t="str">
        <f>IF(ISBLANK($BH118),"-",(IF(BE118="-","-",BE118*(Lists!$K$11/100))))</f>
        <v>-</v>
      </c>
      <c r="BM118" s="98"/>
      <c r="BN118" s="98" t="s">
        <v>15</v>
      </c>
      <c r="BO118" s="104" t="str">
        <f>IF(ISBLANK(BM118),"-",((Lists!$K$19/100)*(IF(BD118&lt;&gt;"-",BD118,BE118))))</f>
        <v>-</v>
      </c>
      <c r="BP118" s="104">
        <f>IF(ISBLANK(BN118),"-",((Lists!$K$20/100)*(IF(BD118&lt;&gt;"-",BD118,BE118))))</f>
        <v>764</v>
      </c>
    </row>
    <row r="119" spans="1:68" x14ac:dyDescent="0.25">
      <c r="A119" s="130" t="s">
        <v>85</v>
      </c>
      <c r="B119" s="131"/>
      <c r="C119" s="308"/>
      <c r="D119" s="308"/>
      <c r="E119" s="308"/>
      <c r="F119" s="308"/>
      <c r="G119" s="97">
        <v>382</v>
      </c>
      <c r="H119" s="97" t="s">
        <v>295</v>
      </c>
      <c r="I119" s="128"/>
      <c r="J119" s="96" t="s">
        <v>383</v>
      </c>
      <c r="K119" s="316"/>
      <c r="L119" s="308"/>
      <c r="M119" s="327"/>
      <c r="N119" s="327"/>
      <c r="O119" s="327"/>
      <c r="P119" s="327"/>
      <c r="Q119" s="327"/>
      <c r="R119" s="327"/>
      <c r="S119" s="327"/>
      <c r="T119" s="327"/>
      <c r="U119" s="331"/>
      <c r="V119" s="100"/>
      <c r="W119" s="100"/>
      <c r="X119" s="100"/>
      <c r="Y119" s="100"/>
      <c r="Z119" s="100"/>
      <c r="AA119" s="100"/>
      <c r="AB119" s="100"/>
      <c r="AC119" s="100"/>
      <c r="AD119" s="100"/>
      <c r="AE119" s="100"/>
      <c r="AF119" s="100"/>
      <c r="AG119" s="100"/>
      <c r="AH119" s="100"/>
      <c r="AI119" s="100"/>
      <c r="AJ119" s="100" t="s">
        <v>299</v>
      </c>
      <c r="AK119" s="100"/>
      <c r="AL119" s="100"/>
      <c r="AM119" s="100"/>
      <c r="AN119" s="100"/>
      <c r="AO119" s="100"/>
      <c r="AP119" s="100"/>
      <c r="AQ119" s="100"/>
      <c r="AR119" s="100"/>
      <c r="AS119" s="100"/>
      <c r="AT119" s="100"/>
      <c r="AU119" s="100"/>
      <c r="AV119" s="100"/>
      <c r="AW119" s="100"/>
      <c r="AX119" s="100"/>
      <c r="AY119" s="100"/>
      <c r="AZ119" s="100"/>
      <c r="BA119" s="100"/>
      <c r="BB119" s="107"/>
      <c r="BC119" s="102">
        <f>IF((SUMPRODUCT(--(V119:AV119&lt;&gt;""))=0),"0",(VLOOKUP((MATCH("X",$V119:$AV119,0)), Lists!$E$13:$G$39,3)))</f>
        <v>36</v>
      </c>
      <c r="BD119" s="103">
        <f t="shared" si="2"/>
        <v>13752</v>
      </c>
      <c r="BE119" s="103" t="str">
        <f t="shared" si="3"/>
        <v>-</v>
      </c>
      <c r="BF119" s="82"/>
      <c r="BG119" s="98" t="s">
        <v>15</v>
      </c>
      <c r="BH119" s="98" t="s">
        <v>15</v>
      </c>
      <c r="BI119" s="104">
        <f>IF(ISBLANK($BG119),"-",(IF(BD119="-","-",BD119*(Lists!$K$10/100))))</f>
        <v>2062.7999999999997</v>
      </c>
      <c r="BJ119" s="104">
        <f>IF(ISBLANK($BH119),"-",(IF(BD119="-","-",BD119*(Lists!$K$11/100))))</f>
        <v>1375.2</v>
      </c>
      <c r="BK119" s="104" t="str">
        <f>IF(ISBLANK($BG119),"-",(IF(BE119="-","-",BE119*(Lists!$K$10/100))))</f>
        <v>-</v>
      </c>
      <c r="BL119" s="104" t="str">
        <f>IF(ISBLANK($BH119),"-",(IF(BE119="-","-",BE119*(Lists!$K$11/100))))</f>
        <v>-</v>
      </c>
      <c r="BM119" s="98"/>
      <c r="BN119" s="98" t="s">
        <v>15</v>
      </c>
      <c r="BO119" s="104" t="str">
        <f>IF(ISBLANK(BM119),"-",((Lists!$K$19/100)*(IF(BD119&lt;&gt;"-",BD119,BE119))))</f>
        <v>-</v>
      </c>
      <c r="BP119" s="104">
        <f>IF(ISBLANK(BN119),"-",((Lists!$K$20/100)*(IF(BD119&lt;&gt;"-",BD119,BE119))))</f>
        <v>687.6</v>
      </c>
    </row>
    <row r="120" spans="1:68" s="155" customFormat="1" ht="63.75" x14ac:dyDescent="0.25">
      <c r="A120" s="116" t="s">
        <v>86</v>
      </c>
      <c r="B120" s="154"/>
      <c r="C120" s="162" t="s">
        <v>53</v>
      </c>
      <c r="D120" s="162" t="s">
        <v>100</v>
      </c>
      <c r="E120" s="162">
        <v>6923</v>
      </c>
      <c r="F120" s="162" t="s">
        <v>110</v>
      </c>
      <c r="G120" s="162" t="s">
        <v>110</v>
      </c>
      <c r="H120" s="162" t="s">
        <v>110</v>
      </c>
      <c r="I120" s="154"/>
      <c r="J120" s="163" t="s">
        <v>101</v>
      </c>
      <c r="K120" s="112" t="s">
        <v>334</v>
      </c>
      <c r="L120" s="110"/>
      <c r="M120" s="164"/>
      <c r="N120" s="113" t="s">
        <v>15</v>
      </c>
      <c r="O120" s="164"/>
      <c r="P120" s="164"/>
      <c r="Q120" s="164"/>
      <c r="R120" s="164"/>
      <c r="S120" s="164"/>
      <c r="T120" s="164"/>
      <c r="U120" s="112" t="s">
        <v>105</v>
      </c>
      <c r="V120" s="114"/>
      <c r="W120" s="114"/>
      <c r="X120" s="114"/>
      <c r="Y120" s="114"/>
      <c r="Z120" s="114"/>
      <c r="AA120" s="114"/>
      <c r="AB120" s="114"/>
      <c r="AC120" s="114"/>
      <c r="AD120" s="114"/>
      <c r="AE120" s="114"/>
      <c r="AF120" s="114"/>
      <c r="AG120" s="114"/>
      <c r="AH120" s="114"/>
      <c r="AI120" s="114"/>
      <c r="AJ120" s="114"/>
      <c r="AK120" s="114"/>
      <c r="AL120" s="114"/>
      <c r="AM120" s="114"/>
      <c r="AN120" s="114"/>
      <c r="AO120" s="114"/>
      <c r="AP120" s="114"/>
      <c r="AQ120" s="114"/>
      <c r="AR120" s="114"/>
      <c r="AS120" s="114"/>
      <c r="AT120" s="114"/>
      <c r="AU120" s="114"/>
      <c r="AV120" s="114"/>
      <c r="AW120" s="114"/>
      <c r="AX120" s="114"/>
      <c r="AY120" s="114"/>
      <c r="AZ120" s="114"/>
      <c r="BA120" s="114"/>
      <c r="BB120" s="115"/>
      <c r="BC120" s="102" t="str">
        <f>IF((SUMPRODUCT(--(V120:AV120&lt;&gt;""))=0),"0",(VLOOKUP((MATCH("X",$V120:$AV120,0)), Lists!$E$13:$G$39,3)))</f>
        <v>0</v>
      </c>
      <c r="BD120" s="103" t="str">
        <f t="shared" si="2"/>
        <v>-</v>
      </c>
      <c r="BE120" s="103" t="str">
        <f t="shared" si="3"/>
        <v>-</v>
      </c>
      <c r="BF120" s="154"/>
      <c r="BG120" s="113"/>
      <c r="BH120" s="113"/>
      <c r="BI120" s="117" t="str">
        <f>IF(ISBLANK($BG120),"-",(IF(BD120="-","-",BD120*(Lists!$K$10/100))))</f>
        <v>-</v>
      </c>
      <c r="BJ120" s="117" t="str">
        <f>IF(ISBLANK($BH120),"-",(IF(BD120="-","-",BD120*(Lists!$K$11/100))))</f>
        <v>-</v>
      </c>
      <c r="BK120" s="117" t="str">
        <f>IF(ISBLANK($BG120),"-",(IF(BE120="-","-",BE120*(Lists!$K$10/100))))</f>
        <v>-</v>
      </c>
      <c r="BL120" s="117" t="str">
        <f>IF(ISBLANK($BH120),"-",(IF(BE120="-","-",BE120*(Lists!$K$11/100))))</f>
        <v>-</v>
      </c>
      <c r="BM120" s="164"/>
      <c r="BN120" s="164"/>
      <c r="BO120" s="117" t="str">
        <f>IF(ISBLANK(BM120),"-",((Lists!$K$19/100)*(IF(BD120&lt;&gt;"-",BD120,BE120))))</f>
        <v>-</v>
      </c>
      <c r="BP120" s="117" t="str">
        <f>IF(ISBLANK(BN120),"-",((Lists!$K$20/100)*(IF(BD120&lt;&gt;"-",BD120,BE120))))</f>
        <v>-</v>
      </c>
    </row>
    <row r="121" spans="1:68" ht="68.25" customHeight="1" x14ac:dyDescent="0.25">
      <c r="A121" s="171" t="s">
        <v>87</v>
      </c>
      <c r="B121" s="171"/>
      <c r="C121" s="172" t="s">
        <v>57</v>
      </c>
      <c r="D121" s="172" t="s">
        <v>58</v>
      </c>
      <c r="E121" s="172">
        <v>864</v>
      </c>
      <c r="F121" s="172" t="s">
        <v>110</v>
      </c>
      <c r="G121" s="79">
        <v>1</v>
      </c>
      <c r="H121" s="79" t="s">
        <v>294</v>
      </c>
      <c r="I121" s="82"/>
      <c r="J121" s="161" t="s">
        <v>141</v>
      </c>
      <c r="K121" s="96" t="s">
        <v>334</v>
      </c>
      <c r="L121" s="97">
        <v>30</v>
      </c>
      <c r="M121" s="305"/>
      <c r="N121" s="320" t="s">
        <v>15</v>
      </c>
      <c r="O121" s="305"/>
      <c r="P121" s="320" t="s">
        <v>15</v>
      </c>
      <c r="Q121" s="305"/>
      <c r="R121" s="320" t="s">
        <v>15</v>
      </c>
      <c r="S121" s="320" t="s">
        <v>15</v>
      </c>
      <c r="T121" s="305"/>
      <c r="U121" s="314" t="s">
        <v>708</v>
      </c>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t="s">
        <v>299</v>
      </c>
      <c r="BA121" s="100"/>
      <c r="BB121" s="107">
        <v>209000</v>
      </c>
      <c r="BC121" s="102" t="str">
        <f>IF((SUMPRODUCT(--(V121:AV121&lt;&gt;""))=0),"0",(VLOOKUP((MATCH("X",$V121:$AV121,0)), Lists!$E$13:$G$39,3)))</f>
        <v>0</v>
      </c>
      <c r="BD121" s="103">
        <f t="shared" si="2"/>
        <v>209000</v>
      </c>
      <c r="BE121" s="103" t="str">
        <f t="shared" si="3"/>
        <v>-</v>
      </c>
      <c r="BF121" s="82" t="s">
        <v>660</v>
      </c>
      <c r="BG121" s="132"/>
      <c r="BH121" s="132"/>
      <c r="BI121" s="104" t="str">
        <f>IF(ISBLANK($BG121),"-",(IF(BD121="-","-",BD121*(Lists!$K$10/100))))</f>
        <v>-</v>
      </c>
      <c r="BJ121" s="104" t="str">
        <f>IF(ISBLANK($BH121),"-",(IF(BD121="-","-",BD121*(Lists!$K$11/100))))</f>
        <v>-</v>
      </c>
      <c r="BK121" s="104" t="str">
        <f>IF(ISBLANK($BG121),"-",(IF(BE121="-","-",BE121*(Lists!$K$10/100))))</f>
        <v>-</v>
      </c>
      <c r="BL121" s="104" t="str">
        <f>IF(ISBLANK($BH121),"-",(IF(BE121="-","-",BE121*(Lists!$K$11/100))))</f>
        <v>-</v>
      </c>
      <c r="BM121" s="133"/>
      <c r="BN121" s="133"/>
      <c r="BO121" s="104" t="str">
        <f>IF(ISBLANK(BM121),"-",((Lists!$K$19/100)*(IF(BD121&lt;&gt;"-",BD121,BE121))))</f>
        <v>-</v>
      </c>
      <c r="BP121" s="104" t="str">
        <f>IF(ISBLANK(BN121),"-",((Lists!$K$20/100)*(IF(BD121&lt;&gt;"-",BD121,BE121))))</f>
        <v>-</v>
      </c>
    </row>
    <row r="122" spans="1:68" ht="27.75" customHeight="1" x14ac:dyDescent="0.25">
      <c r="A122" s="171" t="s">
        <v>87</v>
      </c>
      <c r="B122" s="167"/>
      <c r="C122" s="173" t="s">
        <v>57</v>
      </c>
      <c r="D122" s="173" t="s">
        <v>57</v>
      </c>
      <c r="E122" s="173" t="s">
        <v>110</v>
      </c>
      <c r="F122" s="172" t="s">
        <v>110</v>
      </c>
      <c r="G122" s="79">
        <v>1</v>
      </c>
      <c r="H122" s="79" t="s">
        <v>294</v>
      </c>
      <c r="I122" s="82"/>
      <c r="J122" s="96" t="s">
        <v>619</v>
      </c>
      <c r="K122" s="96" t="s">
        <v>334</v>
      </c>
      <c r="L122" s="97">
        <v>30</v>
      </c>
      <c r="M122" s="329"/>
      <c r="N122" s="321"/>
      <c r="O122" s="329"/>
      <c r="P122" s="321"/>
      <c r="Q122" s="329"/>
      <c r="R122" s="321"/>
      <c r="S122" s="321"/>
      <c r="T122" s="329"/>
      <c r="U122" s="357"/>
      <c r="V122" s="100"/>
      <c r="W122" s="100"/>
      <c r="X122" s="100"/>
      <c r="Y122" s="100"/>
      <c r="Z122" s="100"/>
      <c r="AA122" s="100"/>
      <c r="AB122" s="100"/>
      <c r="AC122" s="100"/>
      <c r="AD122" s="100"/>
      <c r="AE122" s="100"/>
      <c r="AF122" s="100"/>
      <c r="AG122" s="100"/>
      <c r="AH122" s="100"/>
      <c r="AI122" s="100"/>
      <c r="AJ122" s="100"/>
      <c r="AK122" s="100" t="s">
        <v>299</v>
      </c>
      <c r="AL122" s="100"/>
      <c r="AM122" s="100"/>
      <c r="AN122" s="100"/>
      <c r="AO122" s="100"/>
      <c r="AP122" s="100"/>
      <c r="AQ122" s="100"/>
      <c r="AR122" s="100"/>
      <c r="AS122" s="100"/>
      <c r="AT122" s="100"/>
      <c r="AU122" s="100"/>
      <c r="AV122" s="100"/>
      <c r="AW122" s="100"/>
      <c r="AX122" s="100"/>
      <c r="AY122" s="100"/>
      <c r="AZ122" s="100"/>
      <c r="BA122" s="100"/>
      <c r="BB122" s="107"/>
      <c r="BC122" s="102">
        <f>IF((SUMPRODUCT(--(V122:AV122&lt;&gt;""))=0),"0",(VLOOKUP((MATCH("X",$V122:$AV122,0)), Lists!$E$13:$G$39,3)))</f>
        <v>18750</v>
      </c>
      <c r="BD122" s="103">
        <f t="shared" si="2"/>
        <v>18750</v>
      </c>
      <c r="BE122" s="103" t="str">
        <f t="shared" si="3"/>
        <v>-</v>
      </c>
      <c r="BF122" s="82"/>
      <c r="BG122" s="174"/>
      <c r="BH122" s="174"/>
      <c r="BI122" s="104" t="str">
        <f>IF(ISBLANK($BG122),"-",(IF(BD122="-","-",BD122*(Lists!$K$10/100))))</f>
        <v>-</v>
      </c>
      <c r="BJ122" s="104" t="str">
        <f>IF(ISBLANK($BH122),"-",(IF(BD122="-","-",BD122*(Lists!$K$11/100))))</f>
        <v>-</v>
      </c>
      <c r="BK122" s="104" t="str">
        <f>IF(ISBLANK($BG122),"-",(IF(BE122="-","-",BE122*(Lists!$K$10/100))))</f>
        <v>-</v>
      </c>
      <c r="BL122" s="104" t="str">
        <f>IF(ISBLANK($BH122),"-",(IF(BE122="-","-",BE122*(Lists!$K$11/100))))</f>
        <v>-</v>
      </c>
      <c r="BM122" s="151"/>
      <c r="BN122" s="151"/>
      <c r="BO122" s="104" t="str">
        <f>IF(ISBLANK(BM122),"-",((Lists!$K$19/100)*(IF(BD122&lt;&gt;"-",BD122,BE122))))</f>
        <v>-</v>
      </c>
      <c r="BP122" s="104" t="str">
        <f>IF(ISBLANK(BN122),"-",((Lists!$K$20/100)*(IF(BD122&lt;&gt;"-",BD122,BE122))))</f>
        <v>-</v>
      </c>
    </row>
    <row r="123" spans="1:68" ht="27.75" customHeight="1" x14ac:dyDescent="0.25">
      <c r="A123" s="171" t="s">
        <v>87</v>
      </c>
      <c r="B123" s="175"/>
      <c r="C123" s="159" t="s">
        <v>617</v>
      </c>
      <c r="D123" s="159" t="s">
        <v>617</v>
      </c>
      <c r="E123" s="159" t="s">
        <v>110</v>
      </c>
      <c r="F123" s="172" t="s">
        <v>110</v>
      </c>
      <c r="G123" s="79">
        <v>1</v>
      </c>
      <c r="H123" s="79" t="s">
        <v>294</v>
      </c>
      <c r="I123" s="82"/>
      <c r="J123" s="161" t="s">
        <v>392</v>
      </c>
      <c r="K123" s="96" t="s">
        <v>334</v>
      </c>
      <c r="L123" s="97">
        <v>30</v>
      </c>
      <c r="M123" s="306"/>
      <c r="N123" s="327"/>
      <c r="O123" s="306"/>
      <c r="P123" s="327"/>
      <c r="Q123" s="306"/>
      <c r="R123" s="327"/>
      <c r="S123" s="327"/>
      <c r="T123" s="306"/>
      <c r="U123" s="304"/>
      <c r="V123" s="100"/>
      <c r="W123" s="100"/>
      <c r="X123" s="100"/>
      <c r="Y123" s="100"/>
      <c r="Z123" s="100"/>
      <c r="AA123" s="100"/>
      <c r="AB123" s="100"/>
      <c r="AC123" s="100"/>
      <c r="AD123" s="100"/>
      <c r="AE123" s="100"/>
      <c r="AF123" s="100"/>
      <c r="AG123" s="100"/>
      <c r="AH123" s="100"/>
      <c r="AI123" s="100"/>
      <c r="AJ123" s="100"/>
      <c r="AK123" s="100"/>
      <c r="AL123" s="100"/>
      <c r="AM123" s="100"/>
      <c r="AN123" s="100" t="s">
        <v>299</v>
      </c>
      <c r="AO123" s="100"/>
      <c r="AP123" s="100"/>
      <c r="AQ123" s="100"/>
      <c r="AR123" s="100"/>
      <c r="AS123" s="100"/>
      <c r="AT123" s="100"/>
      <c r="AU123" s="100"/>
      <c r="AV123" s="100"/>
      <c r="AW123" s="100"/>
      <c r="AX123" s="100"/>
      <c r="AY123" s="100"/>
      <c r="AZ123" s="100"/>
      <c r="BA123" s="100"/>
      <c r="BB123" s="107"/>
      <c r="BC123" s="102">
        <f>IF((SUMPRODUCT(--(V123:AV123&lt;&gt;""))=0),"0",(VLOOKUP((MATCH("X",$V123:$AV123,0)), Lists!$E$13:$G$39,3)))</f>
        <v>105000</v>
      </c>
      <c r="BD123" s="103">
        <f t="shared" si="2"/>
        <v>105000</v>
      </c>
      <c r="BE123" s="103" t="str">
        <f t="shared" si="3"/>
        <v>-</v>
      </c>
      <c r="BF123" s="82"/>
      <c r="BG123" s="176"/>
      <c r="BH123" s="176"/>
      <c r="BI123" s="104" t="str">
        <f>IF(ISBLANK($BG123),"-",(IF(BD123="-","-",BD123*(Lists!$K$10/100))))</f>
        <v>-</v>
      </c>
      <c r="BJ123" s="104" t="str">
        <f>IF(ISBLANK($BH123),"-",(IF(BD123="-","-",BD123*(Lists!$K$11/100))))</f>
        <v>-</v>
      </c>
      <c r="BK123" s="104" t="str">
        <f>IF(ISBLANK($BG123),"-",(IF(BE123="-","-",BE123*(Lists!$K$10/100))))</f>
        <v>-</v>
      </c>
      <c r="BL123" s="104" t="str">
        <f>IF(ISBLANK($BH123),"-",(IF(BE123="-","-",BE123*(Lists!$K$11/100))))</f>
        <v>-</v>
      </c>
      <c r="BM123" s="142"/>
      <c r="BN123" s="142"/>
      <c r="BO123" s="104" t="str">
        <f>IF(ISBLANK(BM123),"-",((Lists!$K$19/100)*(IF(BD123&lt;&gt;"-",BD123,BE123))))</f>
        <v>-</v>
      </c>
      <c r="BP123" s="104" t="str">
        <f>IF(ISBLANK(BN123),"-",((Lists!$K$20/100)*(IF(BD123&lt;&gt;"-",BD123,BE123))))</f>
        <v>-</v>
      </c>
    </row>
    <row r="124" spans="1:68" ht="27.75" customHeight="1" x14ac:dyDescent="0.25">
      <c r="A124" s="171" t="s">
        <v>87</v>
      </c>
      <c r="B124" s="175"/>
      <c r="C124" s="159" t="s">
        <v>58</v>
      </c>
      <c r="D124" s="159" t="s">
        <v>58</v>
      </c>
      <c r="E124" s="159" t="s">
        <v>110</v>
      </c>
      <c r="F124" s="177" t="s">
        <v>110</v>
      </c>
      <c r="G124" s="79">
        <v>1</v>
      </c>
      <c r="H124" s="79" t="s">
        <v>294</v>
      </c>
      <c r="I124" s="82"/>
      <c r="J124" s="161" t="s">
        <v>709</v>
      </c>
      <c r="K124" s="96" t="s">
        <v>618</v>
      </c>
      <c r="L124" s="97">
        <v>30</v>
      </c>
      <c r="M124" s="178"/>
      <c r="N124" s="137"/>
      <c r="O124" s="178"/>
      <c r="P124" s="137"/>
      <c r="Q124" s="178"/>
      <c r="R124" s="137"/>
      <c r="S124" s="137"/>
      <c r="T124" s="178"/>
      <c r="U124" s="145"/>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t="s">
        <v>299</v>
      </c>
      <c r="AZ124" s="100"/>
      <c r="BA124" s="100"/>
      <c r="BB124" s="107">
        <v>10000</v>
      </c>
      <c r="BC124" s="102" t="str">
        <f>IF((SUMPRODUCT(--(V124:AV124&lt;&gt;""))=0),"0",(VLOOKUP((MATCH("X",$V124:$AV124,0)), Lists!$E$13:$G$39,3)))</f>
        <v>0</v>
      </c>
      <c r="BD124" s="103">
        <f t="shared" si="2"/>
        <v>10000</v>
      </c>
      <c r="BE124" s="103" t="str">
        <f t="shared" si="3"/>
        <v>-</v>
      </c>
      <c r="BF124" s="94" t="s">
        <v>705</v>
      </c>
      <c r="BG124" s="176"/>
      <c r="BH124" s="176"/>
      <c r="BI124" s="104" t="str">
        <f>IF(ISBLANK($BG124),"-",(IF(BD124="-","-",BD124*(Lists!$K$10/100))))</f>
        <v>-</v>
      </c>
      <c r="BJ124" s="104" t="str">
        <f>IF(ISBLANK($BH124),"-",(IF(BD124="-","-",BD124*(Lists!$K$11/100))))</f>
        <v>-</v>
      </c>
      <c r="BK124" s="104" t="str">
        <f>IF(ISBLANK($BG124),"-",(IF(BE124="-","-",BE124*(Lists!$K$10/100))))</f>
        <v>-</v>
      </c>
      <c r="BL124" s="104" t="str">
        <f>IF(ISBLANK($BH124),"-",(IF(BE124="-","-",BE124*(Lists!$K$11/100))))</f>
        <v>-</v>
      </c>
      <c r="BM124" s="142"/>
      <c r="BN124" s="142"/>
      <c r="BO124" s="104" t="str">
        <f>IF(ISBLANK(BM124),"-",((Lists!$K$19/100)*(IF(BD124&lt;&gt;"-",BD124,BE124))))</f>
        <v>-</v>
      </c>
      <c r="BP124" s="104" t="str">
        <f>IF(ISBLANK(BN124),"-",((Lists!$K$20/100)*(IF(BD124&lt;&gt;"-",BD124,BE124))))</f>
        <v>-</v>
      </c>
    </row>
    <row r="125" spans="1:68" ht="51" x14ac:dyDescent="0.25">
      <c r="A125" s="94" t="s">
        <v>87</v>
      </c>
      <c r="B125" s="82"/>
      <c r="C125" s="79" t="s">
        <v>58</v>
      </c>
      <c r="D125" s="79" t="s">
        <v>59</v>
      </c>
      <c r="E125" s="79">
        <v>310</v>
      </c>
      <c r="F125" s="79" t="s">
        <v>110</v>
      </c>
      <c r="G125" s="79">
        <v>310</v>
      </c>
      <c r="H125" s="79" t="s">
        <v>295</v>
      </c>
      <c r="I125" s="82"/>
      <c r="J125" s="161" t="s">
        <v>393</v>
      </c>
      <c r="K125" s="96" t="s">
        <v>334</v>
      </c>
      <c r="L125" s="97">
        <v>30</v>
      </c>
      <c r="M125" s="129"/>
      <c r="N125" s="129"/>
      <c r="O125" s="129"/>
      <c r="P125" s="129"/>
      <c r="Q125" s="98" t="s">
        <v>15</v>
      </c>
      <c r="R125" s="98" t="s">
        <v>15</v>
      </c>
      <c r="S125" s="98" t="s">
        <v>15</v>
      </c>
      <c r="T125" s="98" t="s">
        <v>15</v>
      </c>
      <c r="U125" s="96" t="s">
        <v>700</v>
      </c>
      <c r="V125" s="100"/>
      <c r="W125" s="100"/>
      <c r="X125" s="100"/>
      <c r="Y125" s="100"/>
      <c r="Z125" s="100"/>
      <c r="AA125" s="100"/>
      <c r="AB125" s="100"/>
      <c r="AC125" s="100"/>
      <c r="AD125" s="100"/>
      <c r="AE125" s="100"/>
      <c r="AF125" s="100"/>
      <c r="AG125" s="100"/>
      <c r="AH125" s="100"/>
      <c r="AI125" s="100"/>
      <c r="AJ125" s="100"/>
      <c r="AK125" s="100"/>
      <c r="AL125" s="100"/>
      <c r="AM125" s="100"/>
      <c r="AN125" s="100"/>
      <c r="AO125" s="100" t="s">
        <v>299</v>
      </c>
      <c r="AP125" s="100"/>
      <c r="AQ125" s="100"/>
      <c r="AR125" s="100"/>
      <c r="AS125" s="100"/>
      <c r="AT125" s="100"/>
      <c r="AU125" s="100"/>
      <c r="AV125" s="100"/>
      <c r="AW125" s="100"/>
      <c r="AX125" s="100"/>
      <c r="AY125" s="100"/>
      <c r="AZ125" s="100"/>
      <c r="BA125" s="100"/>
      <c r="BB125" s="107"/>
      <c r="BC125" s="102">
        <f>IF((SUMPRODUCT(--(V125:AV125&lt;&gt;""))=0),"0",(VLOOKUP((MATCH("X",$V125:$AV125,0)), Lists!$E$13:$G$39,3)))</f>
        <v>242</v>
      </c>
      <c r="BD125" s="103">
        <f t="shared" si="2"/>
        <v>75020</v>
      </c>
      <c r="BE125" s="103" t="str">
        <f t="shared" si="3"/>
        <v>-</v>
      </c>
      <c r="BF125" s="82"/>
      <c r="BG125" s="98"/>
      <c r="BH125" s="98"/>
      <c r="BI125" s="104" t="str">
        <f>IF(ISBLANK($BG125),"-",(IF(BD125="-","-",BD125*(Lists!$K$10/100))))</f>
        <v>-</v>
      </c>
      <c r="BJ125" s="104" t="str">
        <f>IF(ISBLANK($BH125),"-",(IF(BD125="-","-",BD125*(Lists!$K$11/100))))</f>
        <v>-</v>
      </c>
      <c r="BK125" s="104" t="str">
        <f>IF(ISBLANK($BG125),"-",(IF(BE125="-","-",BE125*(Lists!$K$10/100))))</f>
        <v>-</v>
      </c>
      <c r="BL125" s="104" t="str">
        <f>IF(ISBLANK($BH125),"-",(IF(BE125="-","-",BE125*(Lists!$K$11/100))))</f>
        <v>-</v>
      </c>
      <c r="BM125" s="129"/>
      <c r="BN125" s="129"/>
      <c r="BO125" s="104" t="str">
        <f>IF(ISBLANK(BM125),"-",((Lists!$K$19/100)*(IF(BD125&lt;&gt;"-",BD125,BE125))))</f>
        <v>-</v>
      </c>
      <c r="BP125" s="104" t="str">
        <f>IF(ISBLANK(BN125),"-",((Lists!$K$20/100)*(IF(BD125&lt;&gt;"-",BD125,BE125))))</f>
        <v>-</v>
      </c>
    </row>
    <row r="126" spans="1:68" ht="38.25" x14ac:dyDescent="0.25">
      <c r="A126" s="94" t="s">
        <v>87</v>
      </c>
      <c r="B126" s="82"/>
      <c r="C126" s="79" t="s">
        <v>59</v>
      </c>
      <c r="D126" s="79" t="s">
        <v>59</v>
      </c>
      <c r="E126" s="79" t="s">
        <v>110</v>
      </c>
      <c r="F126" s="79" t="s">
        <v>110</v>
      </c>
      <c r="G126" s="79">
        <v>1</v>
      </c>
      <c r="H126" s="79" t="s">
        <v>294</v>
      </c>
      <c r="I126" s="82"/>
      <c r="J126" s="161" t="s">
        <v>394</v>
      </c>
      <c r="K126" s="96" t="s">
        <v>334</v>
      </c>
      <c r="L126" s="97" t="s">
        <v>110</v>
      </c>
      <c r="M126" s="129"/>
      <c r="N126" s="129"/>
      <c r="O126" s="129"/>
      <c r="P126" s="129"/>
      <c r="Q126" s="129"/>
      <c r="R126" s="129"/>
      <c r="S126" s="129"/>
      <c r="T126" s="98"/>
      <c r="U126" s="96"/>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t="s">
        <v>299</v>
      </c>
      <c r="AZ126" s="100"/>
      <c r="BA126" s="100"/>
      <c r="BB126" s="134">
        <v>20950</v>
      </c>
      <c r="BC126" s="102" t="str">
        <f>IF((SUMPRODUCT(--(V126:AV126&lt;&gt;""))=0),"0",(VLOOKUP((MATCH("X",$V126:$AV126,0)), Lists!$E$13:$G$39,3)))</f>
        <v>0</v>
      </c>
      <c r="BD126" s="103">
        <f t="shared" si="2"/>
        <v>20950</v>
      </c>
      <c r="BE126" s="103" t="str">
        <f t="shared" si="3"/>
        <v>-</v>
      </c>
      <c r="BF126" s="94" t="s">
        <v>473</v>
      </c>
      <c r="BG126" s="98"/>
      <c r="BH126" s="98"/>
      <c r="BI126" s="104" t="str">
        <f>IF(ISBLANK($BG126),"-",(IF(BD126="-","-",BD126*(Lists!$K$10/100))))</f>
        <v>-</v>
      </c>
      <c r="BJ126" s="104" t="str">
        <f>IF(ISBLANK($BH126),"-",(IF(BD126="-","-",BD126*(Lists!$K$11/100))))</f>
        <v>-</v>
      </c>
      <c r="BK126" s="104" t="str">
        <f>IF(ISBLANK($BG126),"-",(IF(BE126="-","-",BE126*(Lists!$K$10/100))))</f>
        <v>-</v>
      </c>
      <c r="BL126" s="104" t="str">
        <f>IF(ISBLANK($BH126),"-",(IF(BE126="-","-",BE126*(Lists!$K$11/100))))</f>
        <v>-</v>
      </c>
      <c r="BM126" s="129"/>
      <c r="BN126" s="129"/>
      <c r="BO126" s="104" t="str">
        <f>IF(ISBLANK(BM126),"-",((Lists!$K$19/100)*(IF(BD126&lt;&gt;"-",BD126,BE126))))</f>
        <v>-</v>
      </c>
      <c r="BP126" s="104" t="str">
        <f>IF(ISBLANK(BN126),"-",((Lists!$K$20/100)*(IF(BD126&lt;&gt;"-",BD126,BE126))))</f>
        <v>-</v>
      </c>
    </row>
    <row r="127" spans="1:68" ht="38.25" x14ac:dyDescent="0.25">
      <c r="A127" s="94" t="s">
        <v>87</v>
      </c>
      <c r="B127" s="82"/>
      <c r="C127" s="79" t="s">
        <v>59</v>
      </c>
      <c r="D127" s="79" t="s">
        <v>60</v>
      </c>
      <c r="E127" s="79">
        <v>350</v>
      </c>
      <c r="F127" s="79" t="s">
        <v>110</v>
      </c>
      <c r="G127" s="79">
        <v>350</v>
      </c>
      <c r="H127" s="79" t="s">
        <v>295</v>
      </c>
      <c r="I127" s="82"/>
      <c r="J127" s="161" t="s">
        <v>161</v>
      </c>
      <c r="K127" s="96" t="s">
        <v>334</v>
      </c>
      <c r="L127" s="97">
        <v>20</v>
      </c>
      <c r="M127" s="129"/>
      <c r="N127" s="129"/>
      <c r="O127" s="129"/>
      <c r="P127" s="129"/>
      <c r="Q127" s="129"/>
      <c r="R127" s="129"/>
      <c r="S127" s="129"/>
      <c r="T127" s="129"/>
      <c r="U127" s="96" t="s">
        <v>395</v>
      </c>
      <c r="V127" s="100"/>
      <c r="W127" s="100"/>
      <c r="X127" s="100"/>
      <c r="Y127" s="100"/>
      <c r="Z127" s="100"/>
      <c r="AA127" s="100"/>
      <c r="AB127" s="100"/>
      <c r="AC127" s="100"/>
      <c r="AD127" s="100"/>
      <c r="AE127" s="100"/>
      <c r="AF127" s="100"/>
      <c r="AG127" s="100" t="s">
        <v>299</v>
      </c>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7"/>
      <c r="BC127" s="102">
        <f>IF((SUMPRODUCT(--(V127:AV127&lt;&gt;""))=0),"0",(VLOOKUP((MATCH("X",$V127:$AV127,0)), Lists!$E$13:$G$39,3)))</f>
        <v>295</v>
      </c>
      <c r="BD127" s="103">
        <f t="shared" si="2"/>
        <v>103250</v>
      </c>
      <c r="BE127" s="103" t="str">
        <f t="shared" si="3"/>
        <v>-</v>
      </c>
      <c r="BF127" s="82"/>
      <c r="BG127" s="98"/>
      <c r="BH127" s="98"/>
      <c r="BI127" s="104" t="str">
        <f>IF(ISBLANK($BG127),"-",(IF(BD127="-","-",BD127*(Lists!$K$10/100))))</f>
        <v>-</v>
      </c>
      <c r="BJ127" s="104" t="str">
        <f>IF(ISBLANK($BH127),"-",(IF(BD127="-","-",BD127*(Lists!$K$11/100))))</f>
        <v>-</v>
      </c>
      <c r="BK127" s="104" t="str">
        <f>IF(ISBLANK($BG127),"-",(IF(BE127="-","-",BE127*(Lists!$K$10/100))))</f>
        <v>-</v>
      </c>
      <c r="BL127" s="104" t="str">
        <f>IF(ISBLANK($BH127),"-",(IF(BE127="-","-",BE127*(Lists!$K$11/100))))</f>
        <v>-</v>
      </c>
      <c r="BM127" s="129"/>
      <c r="BN127" s="129"/>
      <c r="BO127" s="104" t="str">
        <f>IF(ISBLANK(BM127),"-",((Lists!$K$19/100)*(IF(BD127&lt;&gt;"-",BD127,BE127))))</f>
        <v>-</v>
      </c>
      <c r="BP127" s="104" t="str">
        <f>IF(ISBLANK(BN127),"-",((Lists!$K$20/100)*(IF(BD127&lt;&gt;"-",BD127,BE127))))</f>
        <v>-</v>
      </c>
    </row>
    <row r="128" spans="1:68" ht="25.5" x14ac:dyDescent="0.25">
      <c r="A128" s="105" t="s">
        <v>87</v>
      </c>
      <c r="B128" s="128"/>
      <c r="C128" s="97" t="s">
        <v>60</v>
      </c>
      <c r="D128" s="97" t="s">
        <v>169</v>
      </c>
      <c r="E128" s="97">
        <v>137</v>
      </c>
      <c r="F128" s="97">
        <v>6</v>
      </c>
      <c r="G128" s="97">
        <f>E128*F128</f>
        <v>822</v>
      </c>
      <c r="H128" s="97" t="s">
        <v>300</v>
      </c>
      <c r="I128" s="128"/>
      <c r="J128" s="96" t="s">
        <v>396</v>
      </c>
      <c r="K128" s="96" t="s">
        <v>344</v>
      </c>
      <c r="L128" s="97"/>
      <c r="M128" s="129"/>
      <c r="N128" s="129" t="s">
        <v>15</v>
      </c>
      <c r="O128" s="129"/>
      <c r="P128" s="129"/>
      <c r="Q128" s="129"/>
      <c r="R128" s="129"/>
      <c r="S128" s="129"/>
      <c r="T128" s="129"/>
      <c r="U128" s="96" t="s">
        <v>453</v>
      </c>
      <c r="V128" s="100"/>
      <c r="W128" s="100"/>
      <c r="X128" s="100"/>
      <c r="Y128" s="100"/>
      <c r="Z128" s="100"/>
      <c r="AA128" s="100"/>
      <c r="AB128" s="100"/>
      <c r="AC128" s="100"/>
      <c r="AD128" s="100"/>
      <c r="AE128" s="100"/>
      <c r="AF128" s="100"/>
      <c r="AG128" s="100"/>
      <c r="AH128" s="100"/>
      <c r="AI128" s="100" t="s">
        <v>299</v>
      </c>
      <c r="AJ128" s="100"/>
      <c r="AK128" s="100"/>
      <c r="AL128" s="100"/>
      <c r="AM128" s="100"/>
      <c r="AN128" s="100"/>
      <c r="AO128" s="100"/>
      <c r="AP128" s="100"/>
      <c r="AQ128" s="100"/>
      <c r="AR128" s="100"/>
      <c r="AS128" s="100"/>
      <c r="AT128" s="100"/>
      <c r="AU128" s="100"/>
      <c r="AV128" s="100"/>
      <c r="AW128" s="100"/>
      <c r="AX128" s="100"/>
      <c r="AY128" s="100"/>
      <c r="AZ128" s="100"/>
      <c r="BA128" s="100"/>
      <c r="BB128" s="107"/>
      <c r="BC128" s="102">
        <f>IF((SUMPRODUCT(--(V128:AV128&lt;&gt;""))=0),"0",(VLOOKUP((MATCH("X",$V128:$AV128,0)), Lists!$E$13:$G$39,3)))</f>
        <v>65</v>
      </c>
      <c r="BD128" s="103">
        <f t="shared" si="2"/>
        <v>53430</v>
      </c>
      <c r="BE128" s="103" t="str">
        <f t="shared" si="3"/>
        <v>-</v>
      </c>
      <c r="BF128" s="82"/>
      <c r="BG128" s="132" t="s">
        <v>15</v>
      </c>
      <c r="BH128" s="98"/>
      <c r="BI128" s="104">
        <f>IF(ISBLANK($BG128),"-",(IF(BD128="-","-",BD128*(Lists!$K$10/100))))</f>
        <v>8014.5</v>
      </c>
      <c r="BJ128" s="104" t="str">
        <f>IF(ISBLANK($BH128),"-",(IF(BD128="-","-",BD128*(Lists!$K$11/100))))</f>
        <v>-</v>
      </c>
      <c r="BK128" s="104" t="str">
        <f>IF(ISBLANK($BG128),"-",(IF(BE128="-","-",BE128*(Lists!$K$10/100))))</f>
        <v>-</v>
      </c>
      <c r="BL128" s="104" t="str">
        <f>IF(ISBLANK($BH128),"-",(IF(BE128="-","-",BE128*(Lists!$K$11/100))))</f>
        <v>-</v>
      </c>
      <c r="BM128" s="129"/>
      <c r="BN128" s="98" t="s">
        <v>15</v>
      </c>
      <c r="BO128" s="104" t="str">
        <f>IF(ISBLANK(BM128),"-",((Lists!$K$19/100)*(IF(BD128&lt;&gt;"-",BD128,BE128))))</f>
        <v>-</v>
      </c>
      <c r="BP128" s="104">
        <f>IF(ISBLANK(BN128),"-",((Lists!$K$20/100)*(IF(BD128&lt;&gt;"-",BD128,BE128))))</f>
        <v>2671.5</v>
      </c>
    </row>
    <row r="129" spans="1:68" ht="38.25" customHeight="1" x14ac:dyDescent="0.25">
      <c r="A129" s="130" t="s">
        <v>87</v>
      </c>
      <c r="B129" s="130"/>
      <c r="C129" s="307" t="s">
        <v>169</v>
      </c>
      <c r="D129" s="307" t="s">
        <v>170</v>
      </c>
      <c r="E129" s="307">
        <v>544</v>
      </c>
      <c r="F129" s="307" t="s">
        <v>110</v>
      </c>
      <c r="G129" s="97">
        <v>544</v>
      </c>
      <c r="H129" s="97" t="s">
        <v>295</v>
      </c>
      <c r="I129" s="128"/>
      <c r="J129" s="96" t="s">
        <v>560</v>
      </c>
      <c r="K129" s="314" t="s">
        <v>344</v>
      </c>
      <c r="L129" s="307"/>
      <c r="M129" s="305"/>
      <c r="N129" s="305" t="s">
        <v>15</v>
      </c>
      <c r="O129" s="305"/>
      <c r="P129" s="305"/>
      <c r="Q129" s="305"/>
      <c r="R129" s="305" t="s">
        <v>15</v>
      </c>
      <c r="S129" s="305" t="s">
        <v>15</v>
      </c>
      <c r="T129" s="305" t="s">
        <v>15</v>
      </c>
      <c r="U129" s="314" t="s">
        <v>710</v>
      </c>
      <c r="V129" s="100"/>
      <c r="W129" s="100"/>
      <c r="X129" s="100"/>
      <c r="Y129" s="100"/>
      <c r="Z129" s="100"/>
      <c r="AA129" s="100" t="s">
        <v>299</v>
      </c>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107"/>
      <c r="BC129" s="102">
        <f>IF((SUMPRODUCT(--(V129:AV129&lt;&gt;""))=0),"0",(VLOOKUP((MATCH("X",$V129:$AV129,0)), Lists!$E$13:$G$39,3)))</f>
        <v>155</v>
      </c>
      <c r="BD129" s="103">
        <f t="shared" si="2"/>
        <v>84320</v>
      </c>
      <c r="BE129" s="103" t="str">
        <f t="shared" si="3"/>
        <v>-</v>
      </c>
      <c r="BF129" s="82"/>
      <c r="BG129" s="132" t="s">
        <v>15</v>
      </c>
      <c r="BH129" s="132"/>
      <c r="BI129" s="104">
        <f>IF(ISBLANK($BG129),"-",(IF(BD129="-","-",BD129*(Lists!$K$10/100))))</f>
        <v>12648</v>
      </c>
      <c r="BJ129" s="104" t="str">
        <f>IF(ISBLANK($BH129),"-",(IF(BD129="-","-",BD129*(Lists!$K$11/100))))</f>
        <v>-</v>
      </c>
      <c r="BK129" s="104" t="str">
        <f>IF(ISBLANK($BG129),"-",(IF(BE129="-","-",BE129*(Lists!$K$10/100))))</f>
        <v>-</v>
      </c>
      <c r="BL129" s="104" t="str">
        <f>IF(ISBLANK($BH129),"-",(IF(BE129="-","-",BE129*(Lists!$K$11/100))))</f>
        <v>-</v>
      </c>
      <c r="BM129" s="133"/>
      <c r="BN129" s="98" t="s">
        <v>15</v>
      </c>
      <c r="BO129" s="104" t="str">
        <f>IF(ISBLANK(BM129),"-",((Lists!$K$19/100)*(IF(BD129&lt;&gt;"-",BD129,BE129))))</f>
        <v>-</v>
      </c>
      <c r="BP129" s="104">
        <f>IF(ISBLANK(BN129),"-",((Lists!$K$20/100)*(IF(BD129&lt;&gt;"-",BD129,BE129))))</f>
        <v>4216</v>
      </c>
    </row>
    <row r="130" spans="1:68" ht="38.25" customHeight="1" x14ac:dyDescent="0.25">
      <c r="A130" s="130" t="s">
        <v>87</v>
      </c>
      <c r="B130" s="175"/>
      <c r="C130" s="312"/>
      <c r="D130" s="312"/>
      <c r="E130" s="312"/>
      <c r="F130" s="312"/>
      <c r="G130" s="97">
        <v>544</v>
      </c>
      <c r="H130" s="97" t="s">
        <v>295</v>
      </c>
      <c r="I130" s="128"/>
      <c r="J130" s="96" t="s">
        <v>382</v>
      </c>
      <c r="K130" s="316"/>
      <c r="L130" s="304"/>
      <c r="M130" s="306"/>
      <c r="N130" s="306"/>
      <c r="O130" s="306"/>
      <c r="P130" s="306"/>
      <c r="Q130" s="306"/>
      <c r="R130" s="306"/>
      <c r="S130" s="306"/>
      <c r="T130" s="306"/>
      <c r="U130" s="304"/>
      <c r="V130" s="100"/>
      <c r="W130" s="100"/>
      <c r="X130" s="100"/>
      <c r="Y130" s="100"/>
      <c r="Z130" s="100"/>
      <c r="AA130" s="100"/>
      <c r="AB130" s="100"/>
      <c r="AC130" s="100"/>
      <c r="AD130" s="100"/>
      <c r="AE130" s="100"/>
      <c r="AF130" s="100"/>
      <c r="AG130" s="100"/>
      <c r="AH130" s="100" t="s">
        <v>299</v>
      </c>
      <c r="AI130" s="100"/>
      <c r="AJ130" s="100"/>
      <c r="AK130" s="100"/>
      <c r="AL130" s="100"/>
      <c r="AM130" s="100"/>
      <c r="AN130" s="100"/>
      <c r="AO130" s="100"/>
      <c r="AP130" s="100"/>
      <c r="AQ130" s="100"/>
      <c r="AR130" s="100"/>
      <c r="AS130" s="100"/>
      <c r="AT130" s="100"/>
      <c r="AU130" s="100"/>
      <c r="AV130" s="100"/>
      <c r="AW130" s="100"/>
      <c r="AX130" s="100"/>
      <c r="AY130" s="100"/>
      <c r="AZ130" s="100"/>
      <c r="BA130" s="100"/>
      <c r="BB130" s="107"/>
      <c r="BC130" s="102">
        <f>IF((SUMPRODUCT(--(V130:AV130&lt;&gt;""))=0),"0",(VLOOKUP((MATCH("X",$V130:$AV130,0)), Lists!$E$13:$G$39,3)))</f>
        <v>40</v>
      </c>
      <c r="BD130" s="103">
        <f t="shared" si="2"/>
        <v>21760</v>
      </c>
      <c r="BE130" s="103" t="str">
        <f t="shared" si="3"/>
        <v>-</v>
      </c>
      <c r="BF130" s="82"/>
      <c r="BG130" s="132" t="s">
        <v>15</v>
      </c>
      <c r="BH130" s="176"/>
      <c r="BI130" s="104">
        <f>IF(ISBLANK($BG130),"-",(IF(BD130="-","-",BD130*(Lists!$K$10/100))))</f>
        <v>3264</v>
      </c>
      <c r="BJ130" s="104" t="str">
        <f>IF(ISBLANK($BH130),"-",(IF(BD130="-","-",BD130*(Lists!$K$11/100))))</f>
        <v>-</v>
      </c>
      <c r="BK130" s="104" t="str">
        <f>IF(ISBLANK($BG130),"-",(IF(BE130="-","-",BE130*(Lists!$K$10/100))))</f>
        <v>-</v>
      </c>
      <c r="BL130" s="104" t="str">
        <f>IF(ISBLANK($BH130),"-",(IF(BE130="-","-",BE130*(Lists!$K$11/100))))</f>
        <v>-</v>
      </c>
      <c r="BM130" s="142"/>
      <c r="BN130" s="98" t="s">
        <v>15</v>
      </c>
      <c r="BO130" s="104" t="str">
        <f>IF(ISBLANK(BM130),"-",((Lists!$K$19/100)*(IF(BD130&lt;&gt;"-",BD130,BE130))))</f>
        <v>-</v>
      </c>
      <c r="BP130" s="104">
        <f>IF(ISBLANK(BN130),"-",((Lists!$K$20/100)*(IF(BD130&lt;&gt;"-",BD130,BE130))))</f>
        <v>1088</v>
      </c>
    </row>
    <row r="131" spans="1:68" ht="25.5" x14ac:dyDescent="0.25">
      <c r="A131" s="105" t="s">
        <v>87</v>
      </c>
      <c r="B131" s="128"/>
      <c r="C131" s="97" t="s">
        <v>184</v>
      </c>
      <c r="D131" s="97"/>
      <c r="E131" s="97" t="s">
        <v>110</v>
      </c>
      <c r="F131" s="97" t="s">
        <v>110</v>
      </c>
      <c r="G131" s="97">
        <v>1</v>
      </c>
      <c r="H131" s="97" t="s">
        <v>294</v>
      </c>
      <c r="I131" s="128"/>
      <c r="J131" s="96" t="s">
        <v>397</v>
      </c>
      <c r="K131" s="96" t="s">
        <v>344</v>
      </c>
      <c r="L131" s="97"/>
      <c r="M131" s="129"/>
      <c r="N131" s="98" t="s">
        <v>15</v>
      </c>
      <c r="O131" s="129"/>
      <c r="P131" s="129"/>
      <c r="Q131" s="129"/>
      <c r="R131" s="129"/>
      <c r="S131" s="129"/>
      <c r="T131" s="129"/>
      <c r="U131" s="96" t="s">
        <v>398</v>
      </c>
      <c r="V131" s="100"/>
      <c r="W131" s="100"/>
      <c r="X131" s="100"/>
      <c r="Y131" s="100"/>
      <c r="Z131" s="100"/>
      <c r="AA131" s="100"/>
      <c r="AB131" s="100"/>
      <c r="AC131" s="100"/>
      <c r="AD131" s="100"/>
      <c r="AE131" s="100"/>
      <c r="AF131" s="100"/>
      <c r="AG131" s="100"/>
      <c r="AH131" s="100"/>
      <c r="AI131" s="100"/>
      <c r="AJ131" s="100"/>
      <c r="AK131" s="100" t="s">
        <v>299</v>
      </c>
      <c r="AL131" s="100"/>
      <c r="AM131" s="100"/>
      <c r="AN131" s="100"/>
      <c r="AO131" s="100"/>
      <c r="AP131" s="100"/>
      <c r="AQ131" s="100"/>
      <c r="AR131" s="100"/>
      <c r="AS131" s="100"/>
      <c r="AT131" s="100"/>
      <c r="AU131" s="100"/>
      <c r="AV131" s="100"/>
      <c r="AW131" s="100"/>
      <c r="AX131" s="100"/>
      <c r="AY131" s="100"/>
      <c r="AZ131" s="100"/>
      <c r="BA131" s="100"/>
      <c r="BB131" s="107"/>
      <c r="BC131" s="102">
        <f>IF((SUMPRODUCT(--(V131:AV131&lt;&gt;""))=0),"0",(VLOOKUP((MATCH("X",$V131:$AV131,0)), Lists!$E$13:$G$39,3)))</f>
        <v>18750</v>
      </c>
      <c r="BD131" s="103">
        <f t="shared" si="2"/>
        <v>18750</v>
      </c>
      <c r="BE131" s="103" t="str">
        <f t="shared" si="3"/>
        <v>-</v>
      </c>
      <c r="BF131" s="82"/>
      <c r="BG131" s="132" t="s">
        <v>15</v>
      </c>
      <c r="BH131" s="98"/>
      <c r="BI131" s="104">
        <f>IF(ISBLANK($BG131),"-",(IF(BD131="-","-",BD131*(Lists!$K$10/100))))</f>
        <v>2812.5</v>
      </c>
      <c r="BJ131" s="104" t="str">
        <f>IF(ISBLANK($BH131),"-",(IF(BD131="-","-",BD131*(Lists!$K$11/100))))</f>
        <v>-</v>
      </c>
      <c r="BK131" s="104" t="str">
        <f>IF(ISBLANK($BG131),"-",(IF(BE131="-","-",BE131*(Lists!$K$10/100))))</f>
        <v>-</v>
      </c>
      <c r="BL131" s="104" t="str">
        <f>IF(ISBLANK($BH131),"-",(IF(BE131="-","-",BE131*(Lists!$K$11/100))))</f>
        <v>-</v>
      </c>
      <c r="BM131" s="129"/>
      <c r="BN131" s="98" t="s">
        <v>15</v>
      </c>
      <c r="BO131" s="104" t="str">
        <f>IF(ISBLANK(BM131),"-",((Lists!$K$19/100)*(IF(BD131&lt;&gt;"-",BD131,BE131))))</f>
        <v>-</v>
      </c>
      <c r="BP131" s="104">
        <f>IF(ISBLANK(BN131),"-",((Lists!$K$20/100)*(IF(BD131&lt;&gt;"-",BD131,BE131))))</f>
        <v>937.5</v>
      </c>
    </row>
    <row r="132" spans="1:68" x14ac:dyDescent="0.25">
      <c r="A132" s="105" t="s">
        <v>87</v>
      </c>
      <c r="B132" s="128"/>
      <c r="C132" s="97" t="s">
        <v>170</v>
      </c>
      <c r="D132" s="97" t="s">
        <v>61</v>
      </c>
      <c r="E132" s="97">
        <v>131</v>
      </c>
      <c r="F132" s="97">
        <v>7</v>
      </c>
      <c r="G132" s="97">
        <f>E132*F132</f>
        <v>917</v>
      </c>
      <c r="H132" s="97" t="s">
        <v>300</v>
      </c>
      <c r="I132" s="128"/>
      <c r="J132" s="96" t="s">
        <v>399</v>
      </c>
      <c r="K132" s="96" t="s">
        <v>344</v>
      </c>
      <c r="L132" s="97"/>
      <c r="M132" s="129"/>
      <c r="N132" s="98"/>
      <c r="O132" s="129"/>
      <c r="P132" s="129"/>
      <c r="Q132" s="129"/>
      <c r="R132" s="129"/>
      <c r="S132" s="129"/>
      <c r="T132" s="129"/>
      <c r="U132" s="96"/>
      <c r="V132" s="100"/>
      <c r="W132" s="100"/>
      <c r="X132" s="100"/>
      <c r="Y132" s="100"/>
      <c r="Z132" s="100"/>
      <c r="AA132" s="100"/>
      <c r="AB132" s="100"/>
      <c r="AC132" s="100"/>
      <c r="AD132" s="100"/>
      <c r="AE132" s="100"/>
      <c r="AF132" s="100"/>
      <c r="AG132" s="100"/>
      <c r="AH132" s="100"/>
      <c r="AI132" s="100" t="s">
        <v>299</v>
      </c>
      <c r="AJ132" s="100"/>
      <c r="AK132" s="100"/>
      <c r="AL132" s="100"/>
      <c r="AM132" s="100"/>
      <c r="AN132" s="100"/>
      <c r="AO132" s="100"/>
      <c r="AP132" s="100"/>
      <c r="AQ132" s="100"/>
      <c r="AR132" s="100"/>
      <c r="AS132" s="100"/>
      <c r="AT132" s="100"/>
      <c r="AU132" s="100"/>
      <c r="AV132" s="100"/>
      <c r="AW132" s="100"/>
      <c r="AX132" s="100"/>
      <c r="AY132" s="100"/>
      <c r="AZ132" s="100"/>
      <c r="BA132" s="100"/>
      <c r="BB132" s="107"/>
      <c r="BC132" s="102">
        <f>IF((SUMPRODUCT(--(V132:AV132&lt;&gt;""))=0),"0",(VLOOKUP((MATCH("X",$V132:$AV132,0)), Lists!$E$13:$G$39,3)))</f>
        <v>65</v>
      </c>
      <c r="BD132" s="103">
        <f t="shared" si="2"/>
        <v>59605</v>
      </c>
      <c r="BE132" s="103" t="str">
        <f t="shared" si="3"/>
        <v>-</v>
      </c>
      <c r="BF132" s="82"/>
      <c r="BG132" s="132" t="s">
        <v>15</v>
      </c>
      <c r="BH132" s="98"/>
      <c r="BI132" s="104">
        <f>IF(ISBLANK($BG132),"-",(IF(BD132="-","-",BD132*(Lists!$K$10/100))))</f>
        <v>8940.75</v>
      </c>
      <c r="BJ132" s="104" t="str">
        <f>IF(ISBLANK($BH132),"-",(IF(BD132="-","-",BD132*(Lists!$K$11/100))))</f>
        <v>-</v>
      </c>
      <c r="BK132" s="104" t="str">
        <f>IF(ISBLANK($BG132),"-",(IF(BE132="-","-",BE132*(Lists!$K$10/100))))</f>
        <v>-</v>
      </c>
      <c r="BL132" s="104" t="str">
        <f>IF(ISBLANK($BH132),"-",(IF(BE132="-","-",BE132*(Lists!$K$11/100))))</f>
        <v>-</v>
      </c>
      <c r="BM132" s="129"/>
      <c r="BN132" s="98" t="s">
        <v>15</v>
      </c>
      <c r="BO132" s="104" t="str">
        <f>IF(ISBLANK(BM132),"-",((Lists!$K$19/100)*(IF(BD132&lt;&gt;"-",BD132,BE132))))</f>
        <v>-</v>
      </c>
      <c r="BP132" s="104">
        <f>IF(ISBLANK(BN132),"-",((Lists!$K$20/100)*(IF(BD132&lt;&gt;"-",BD132,BE132))))</f>
        <v>2980.25</v>
      </c>
    </row>
    <row r="133" spans="1:68" ht="51" x14ac:dyDescent="0.25">
      <c r="A133" s="94" t="s">
        <v>87</v>
      </c>
      <c r="B133" s="82"/>
      <c r="C133" s="79" t="s">
        <v>61</v>
      </c>
      <c r="D133" s="79" t="s">
        <v>62</v>
      </c>
      <c r="E133" s="79">
        <v>422</v>
      </c>
      <c r="F133" s="79" t="s">
        <v>110</v>
      </c>
      <c r="G133" s="79">
        <v>422</v>
      </c>
      <c r="H133" s="79" t="s">
        <v>295</v>
      </c>
      <c r="I133" s="82"/>
      <c r="J133" s="161" t="s">
        <v>98</v>
      </c>
      <c r="K133" s="96" t="s">
        <v>334</v>
      </c>
      <c r="L133" s="97">
        <v>30</v>
      </c>
      <c r="M133" s="129"/>
      <c r="N133" s="129"/>
      <c r="O133" s="129"/>
      <c r="P133" s="129"/>
      <c r="Q133" s="98"/>
      <c r="R133" s="98" t="s">
        <v>15</v>
      </c>
      <c r="S133" s="98" t="s">
        <v>15</v>
      </c>
      <c r="T133" s="98" t="s">
        <v>15</v>
      </c>
      <c r="U133" s="96" t="s">
        <v>400</v>
      </c>
      <c r="V133" s="100"/>
      <c r="W133" s="100"/>
      <c r="X133" s="100"/>
      <c r="Y133" s="100"/>
      <c r="Z133" s="100"/>
      <c r="AA133" s="100"/>
      <c r="AB133" s="100"/>
      <c r="AC133" s="100"/>
      <c r="AD133" s="100"/>
      <c r="AE133" s="100"/>
      <c r="AF133" s="100"/>
      <c r="AG133" s="100" t="s">
        <v>299</v>
      </c>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7"/>
      <c r="BC133" s="102">
        <f>IF((SUMPRODUCT(--(V133:AV133&lt;&gt;""))=0),"0",(VLOOKUP((MATCH("X",$V133:$AV133,0)), Lists!$E$13:$G$39,3)))</f>
        <v>295</v>
      </c>
      <c r="BD133" s="103">
        <f t="shared" ref="BD133:BD196" si="4">IF((AND(ISBLANK(AU133), ISBLANK(BA133), ISBLANK(AW133))),(IF(BB133&gt;0,BB133*G133,(IF(AND(G133&lt;&gt;"-",BC133&gt;0),BC133*G133,"-")))),"-")</f>
        <v>124490</v>
      </c>
      <c r="BE133" s="103" t="str">
        <f t="shared" ref="BE133:BE196" si="5">IF((AND(ISBLANK($AU133), ISBLANK($BA133), ISBLANK($AW133))),"-",((IF($BB133&gt;0,$BB133*$G133,(IF(AND($G133&lt;&gt;"-",$BC133&gt;0),$BC133*$G133,"-"))))))</f>
        <v>-</v>
      </c>
      <c r="BF133" s="82"/>
      <c r="BG133" s="132" t="s">
        <v>15</v>
      </c>
      <c r="BH133" s="98"/>
      <c r="BI133" s="104">
        <f>IF(ISBLANK($BG133),"-",(IF(BD133="-","-",BD133*(Lists!$K$10/100))))</f>
        <v>18673.5</v>
      </c>
      <c r="BJ133" s="104" t="str">
        <f>IF(ISBLANK($BH133),"-",(IF(BD133="-","-",BD133*(Lists!$K$11/100))))</f>
        <v>-</v>
      </c>
      <c r="BK133" s="104" t="str">
        <f>IF(ISBLANK($BG133),"-",(IF(BE133="-","-",BE133*(Lists!$K$10/100))))</f>
        <v>-</v>
      </c>
      <c r="BL133" s="104" t="str">
        <f>IF(ISBLANK($BH133),"-",(IF(BE133="-","-",BE133*(Lists!$K$11/100))))</f>
        <v>-</v>
      </c>
      <c r="BM133" s="129"/>
      <c r="BN133" s="129"/>
      <c r="BO133" s="104" t="str">
        <f>IF(ISBLANK(BM133),"-",((Lists!$K$19/100)*(IF(BD133&lt;&gt;"-",BD133,BE133))))</f>
        <v>-</v>
      </c>
      <c r="BP133" s="104" t="str">
        <f>IF(ISBLANK(BN133),"-",((Lists!$K$20/100)*(IF(BD133&lt;&gt;"-",BD133,BE133))))</f>
        <v>-</v>
      </c>
    </row>
    <row r="134" spans="1:68" s="179" customFormat="1" x14ac:dyDescent="0.25">
      <c r="A134" s="105" t="s">
        <v>87</v>
      </c>
      <c r="B134" s="128"/>
      <c r="C134" s="97" t="s">
        <v>62</v>
      </c>
      <c r="D134" s="97" t="s">
        <v>171</v>
      </c>
      <c r="E134" s="97">
        <v>105</v>
      </c>
      <c r="F134" s="97">
        <v>3.5</v>
      </c>
      <c r="G134" s="97">
        <f>E134*F134</f>
        <v>367.5</v>
      </c>
      <c r="H134" s="97" t="s">
        <v>300</v>
      </c>
      <c r="I134" s="128"/>
      <c r="J134" s="96" t="s">
        <v>401</v>
      </c>
      <c r="K134" s="96" t="s">
        <v>334</v>
      </c>
      <c r="L134" s="97"/>
      <c r="M134" s="129"/>
      <c r="N134" s="129"/>
      <c r="O134" s="129"/>
      <c r="P134" s="129"/>
      <c r="Q134" s="98"/>
      <c r="R134" s="98" t="s">
        <v>15</v>
      </c>
      <c r="S134" s="98" t="s">
        <v>15</v>
      </c>
      <c r="T134" s="98" t="s">
        <v>15</v>
      </c>
      <c r="U134" s="96" t="s">
        <v>701</v>
      </c>
      <c r="V134" s="100"/>
      <c r="W134" s="100"/>
      <c r="X134" s="100"/>
      <c r="Y134" s="100"/>
      <c r="Z134" s="100"/>
      <c r="AA134" s="100"/>
      <c r="AB134" s="100"/>
      <c r="AC134" s="100"/>
      <c r="AD134" s="100"/>
      <c r="AE134" s="100"/>
      <c r="AF134" s="100"/>
      <c r="AG134" s="100"/>
      <c r="AH134" s="100"/>
      <c r="AI134" s="100" t="s">
        <v>299</v>
      </c>
      <c r="AJ134" s="100"/>
      <c r="AK134" s="100"/>
      <c r="AL134" s="100"/>
      <c r="AM134" s="100"/>
      <c r="AN134" s="100"/>
      <c r="AO134" s="100"/>
      <c r="AP134" s="100"/>
      <c r="AQ134" s="100"/>
      <c r="AR134" s="100"/>
      <c r="AS134" s="100"/>
      <c r="AT134" s="100"/>
      <c r="AU134" s="100"/>
      <c r="AV134" s="100"/>
      <c r="AW134" s="100"/>
      <c r="AX134" s="100"/>
      <c r="AY134" s="100"/>
      <c r="AZ134" s="100"/>
      <c r="BA134" s="100"/>
      <c r="BB134" s="107"/>
      <c r="BC134" s="102">
        <f>IF((SUMPRODUCT(--(V134:AV134&lt;&gt;""))=0),"0",(VLOOKUP((MATCH("X",$V134:$AV134,0)), Lists!$E$13:$G$39,3)))</f>
        <v>65</v>
      </c>
      <c r="BD134" s="103">
        <f t="shared" si="4"/>
        <v>23887.5</v>
      </c>
      <c r="BE134" s="103" t="str">
        <f t="shared" si="5"/>
        <v>-</v>
      </c>
      <c r="BF134" s="128"/>
      <c r="BG134" s="132" t="s">
        <v>15</v>
      </c>
      <c r="BH134" s="98"/>
      <c r="BI134" s="104">
        <f>IF(ISBLANK($BG134),"-",(IF(BD134="-","-",BD134*(Lists!$K$10/100))))</f>
        <v>3583.125</v>
      </c>
      <c r="BJ134" s="104" t="str">
        <f>IF(ISBLANK($BH134),"-",(IF(BD134="-","-",BD134*(Lists!$K$11/100))))</f>
        <v>-</v>
      </c>
      <c r="BK134" s="104" t="str">
        <f>IF(ISBLANK($BG134),"-",(IF(BE134="-","-",BE134*(Lists!$K$10/100))))</f>
        <v>-</v>
      </c>
      <c r="BL134" s="104" t="str">
        <f>IF(ISBLANK($BH134),"-",(IF(BE134="-","-",BE134*(Lists!$K$11/100))))</f>
        <v>-</v>
      </c>
      <c r="BM134" s="129"/>
      <c r="BN134" s="129"/>
      <c r="BO134" s="104" t="str">
        <f>IF(ISBLANK(BM134),"-",((Lists!$K$19/100)*(IF(BD134&lt;&gt;"-",BD134,BE134))))</f>
        <v>-</v>
      </c>
      <c r="BP134" s="104" t="str">
        <f>IF(ISBLANK(BN134),"-",((Lists!$K$20/100)*(IF(BD134&lt;&gt;"-",BD134,BE134))))</f>
        <v>-</v>
      </c>
    </row>
    <row r="135" spans="1:68" ht="34.5" customHeight="1" x14ac:dyDescent="0.25">
      <c r="A135" s="130" t="s">
        <v>87</v>
      </c>
      <c r="B135" s="130"/>
      <c r="C135" s="307" t="s">
        <v>171</v>
      </c>
      <c r="D135" s="307" t="s">
        <v>63</v>
      </c>
      <c r="E135" s="307">
        <v>1360</v>
      </c>
      <c r="F135" s="307" t="s">
        <v>110</v>
      </c>
      <c r="G135" s="97">
        <v>1360</v>
      </c>
      <c r="H135" s="97" t="s">
        <v>295</v>
      </c>
      <c r="I135" s="302"/>
      <c r="J135" s="96" t="s">
        <v>402</v>
      </c>
      <c r="K135" s="96" t="s">
        <v>339</v>
      </c>
      <c r="L135" s="302"/>
      <c r="M135" s="320" t="s">
        <v>15</v>
      </c>
      <c r="N135" s="305"/>
      <c r="O135" s="305"/>
      <c r="P135" s="305"/>
      <c r="Q135" s="305"/>
      <c r="R135" s="305"/>
      <c r="S135" s="305"/>
      <c r="T135" s="305"/>
      <c r="U135" s="314" t="s">
        <v>106</v>
      </c>
      <c r="V135" s="100"/>
      <c r="W135" s="100"/>
      <c r="X135" s="100"/>
      <c r="Y135" s="100"/>
      <c r="Z135" s="100"/>
      <c r="AA135" s="100" t="s">
        <v>299</v>
      </c>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7"/>
      <c r="BC135" s="102">
        <f>IF((SUMPRODUCT(--(V135:AV135&lt;&gt;""))=0),"0",(VLOOKUP((MATCH("X",$V135:$AV135,0)), Lists!$E$13:$G$39,3)))</f>
        <v>155</v>
      </c>
      <c r="BD135" s="103">
        <f t="shared" si="4"/>
        <v>210800</v>
      </c>
      <c r="BE135" s="103" t="str">
        <f t="shared" si="5"/>
        <v>-</v>
      </c>
      <c r="BF135" s="82"/>
      <c r="BG135" s="132" t="s">
        <v>15</v>
      </c>
      <c r="BH135" s="132"/>
      <c r="BI135" s="104">
        <f>IF(ISBLANK($BG135),"-",(IF(BD135="-","-",BD135*(Lists!$K$10/100))))</f>
        <v>31620</v>
      </c>
      <c r="BJ135" s="104" t="str">
        <f>IF(ISBLANK($BH135),"-",(IF(BD135="-","-",BD135*(Lists!$K$11/100))))</f>
        <v>-</v>
      </c>
      <c r="BK135" s="104" t="str">
        <f>IF(ISBLANK($BG135),"-",(IF(BE135="-","-",BE135*(Lists!$K$10/100))))</f>
        <v>-</v>
      </c>
      <c r="BL135" s="104" t="str">
        <f>IF(ISBLANK($BH135),"-",(IF(BE135="-","-",BE135*(Lists!$K$11/100))))</f>
        <v>-</v>
      </c>
      <c r="BM135" s="133"/>
      <c r="BN135" s="98" t="s">
        <v>15</v>
      </c>
      <c r="BO135" s="104" t="str">
        <f>IF(ISBLANK(BM135),"-",((Lists!$K$19/100)*(IF(BD135&lt;&gt;"-",BD135,BE135))))</f>
        <v>-</v>
      </c>
      <c r="BP135" s="104">
        <f>IF(ISBLANK(BN135),"-",((Lists!$K$20/100)*(IF(BD135&lt;&gt;"-",BD135,BE135))))</f>
        <v>10540</v>
      </c>
    </row>
    <row r="136" spans="1:68" ht="34.5" customHeight="1" x14ac:dyDescent="0.25">
      <c r="A136" s="130" t="s">
        <v>87</v>
      </c>
      <c r="B136" s="131"/>
      <c r="C136" s="308"/>
      <c r="D136" s="308"/>
      <c r="E136" s="308"/>
      <c r="F136" s="308"/>
      <c r="G136" s="97">
        <v>966</v>
      </c>
      <c r="H136" s="97" t="s">
        <v>295</v>
      </c>
      <c r="I136" s="304"/>
      <c r="J136" s="96" t="s">
        <v>649</v>
      </c>
      <c r="K136" s="96" t="s">
        <v>339</v>
      </c>
      <c r="L136" s="304"/>
      <c r="M136" s="327"/>
      <c r="N136" s="306"/>
      <c r="O136" s="306"/>
      <c r="P136" s="306"/>
      <c r="Q136" s="306"/>
      <c r="R136" s="306"/>
      <c r="S136" s="306"/>
      <c r="T136" s="306"/>
      <c r="U136" s="304"/>
      <c r="V136" s="100"/>
      <c r="W136" s="100"/>
      <c r="X136" s="100"/>
      <c r="Y136" s="100"/>
      <c r="Z136" s="100"/>
      <c r="AA136" s="100"/>
      <c r="AB136" s="100"/>
      <c r="AC136" s="100"/>
      <c r="AD136" s="100"/>
      <c r="AE136" s="100"/>
      <c r="AF136" s="100"/>
      <c r="AG136" s="100"/>
      <c r="AH136" s="100"/>
      <c r="AI136" s="100"/>
      <c r="AJ136" s="100" t="s">
        <v>299</v>
      </c>
      <c r="AK136" s="100"/>
      <c r="AL136" s="100"/>
      <c r="AM136" s="100"/>
      <c r="AN136" s="100"/>
      <c r="AO136" s="100"/>
      <c r="AP136" s="100"/>
      <c r="AQ136" s="100"/>
      <c r="AR136" s="100"/>
      <c r="AS136" s="100"/>
      <c r="AT136" s="100"/>
      <c r="AU136" s="100"/>
      <c r="AV136" s="100"/>
      <c r="AW136" s="100"/>
      <c r="AX136" s="100"/>
      <c r="AY136" s="100"/>
      <c r="AZ136" s="100"/>
      <c r="BA136" s="100"/>
      <c r="BB136" s="107"/>
      <c r="BC136" s="102">
        <f>IF((SUMPRODUCT(--(V136:AV136&lt;&gt;""))=0),"0",(VLOOKUP((MATCH("X",$V136:$AV136,0)), Lists!$E$13:$G$39,3)))</f>
        <v>36</v>
      </c>
      <c r="BD136" s="103">
        <f t="shared" si="4"/>
        <v>34776</v>
      </c>
      <c r="BE136" s="103" t="str">
        <f t="shared" si="5"/>
        <v>-</v>
      </c>
      <c r="BF136" s="82"/>
      <c r="BG136" s="132" t="s">
        <v>15</v>
      </c>
      <c r="BH136" s="176"/>
      <c r="BI136" s="104">
        <f>IF(ISBLANK($BG136),"-",(IF(BD136="-","-",BD136*(Lists!$K$10/100))))</f>
        <v>5216.3999999999996</v>
      </c>
      <c r="BJ136" s="104" t="str">
        <f>IF(ISBLANK($BH136),"-",(IF(BD136="-","-",BD136*(Lists!$K$11/100))))</f>
        <v>-</v>
      </c>
      <c r="BK136" s="104" t="str">
        <f>IF(ISBLANK($BG136),"-",(IF(BE136="-","-",BE136*(Lists!$K$10/100))))</f>
        <v>-</v>
      </c>
      <c r="BL136" s="104" t="str">
        <f>IF(ISBLANK($BH136),"-",(IF(BE136="-","-",BE136*(Lists!$K$11/100))))</f>
        <v>-</v>
      </c>
      <c r="BM136" s="142"/>
      <c r="BN136" s="98" t="s">
        <v>15</v>
      </c>
      <c r="BO136" s="104" t="str">
        <f>IF(ISBLANK(BM136),"-",((Lists!$K$19/100)*(IF(BD136&lt;&gt;"-",BD136,BE136))))</f>
        <v>-</v>
      </c>
      <c r="BP136" s="104">
        <f>IF(ISBLANK(BN136),"-",((Lists!$K$20/100)*(IF(BD136&lt;&gt;"-",BD136,BE136))))</f>
        <v>1738.8000000000002</v>
      </c>
    </row>
    <row r="137" spans="1:68" ht="39" customHeight="1" x14ac:dyDescent="0.25">
      <c r="A137" s="94" t="s">
        <v>87</v>
      </c>
      <c r="B137" s="82"/>
      <c r="C137" s="79" t="s">
        <v>63</v>
      </c>
      <c r="D137" s="79" t="s">
        <v>64</v>
      </c>
      <c r="E137" s="79">
        <v>454</v>
      </c>
      <c r="F137" s="79" t="s">
        <v>110</v>
      </c>
      <c r="G137" s="79">
        <v>454</v>
      </c>
      <c r="H137" s="79" t="s">
        <v>295</v>
      </c>
      <c r="I137" s="82"/>
      <c r="J137" s="161" t="s">
        <v>343</v>
      </c>
      <c r="K137" s="96" t="s">
        <v>334</v>
      </c>
      <c r="L137" s="97">
        <v>60</v>
      </c>
      <c r="M137" s="129"/>
      <c r="N137" s="129"/>
      <c r="O137" s="129" t="s">
        <v>15</v>
      </c>
      <c r="P137" s="129"/>
      <c r="Q137" s="129"/>
      <c r="R137" s="129"/>
      <c r="S137" s="129"/>
      <c r="T137" s="129"/>
      <c r="U137" s="96" t="s">
        <v>403</v>
      </c>
      <c r="V137" s="100"/>
      <c r="W137" s="100"/>
      <c r="X137" s="100"/>
      <c r="Y137" s="100"/>
      <c r="Z137" s="100"/>
      <c r="AA137" s="100"/>
      <c r="AB137" s="100"/>
      <c r="AC137" s="100"/>
      <c r="AD137" s="100"/>
      <c r="AE137" s="100"/>
      <c r="AF137" s="100"/>
      <c r="AG137" s="100" t="s">
        <v>299</v>
      </c>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107"/>
      <c r="BC137" s="102">
        <f>IF((SUMPRODUCT(--(V137:AV137&lt;&gt;""))=0),"0",(VLOOKUP((MATCH("X",$V137:$AV137,0)), Lists!$E$13:$G$39,3)))</f>
        <v>295</v>
      </c>
      <c r="BD137" s="103">
        <f t="shared" si="4"/>
        <v>133930</v>
      </c>
      <c r="BE137" s="103" t="str">
        <f t="shared" si="5"/>
        <v>-</v>
      </c>
      <c r="BF137" s="82"/>
      <c r="BG137" s="132" t="s">
        <v>15</v>
      </c>
      <c r="BH137" s="98"/>
      <c r="BI137" s="104">
        <f>IF(ISBLANK($BG137),"-",(IF(BD137="-","-",BD137*(Lists!$K$10/100))))</f>
        <v>20089.5</v>
      </c>
      <c r="BJ137" s="104" t="str">
        <f>IF(ISBLANK($BH137),"-",(IF(BD137="-","-",BD137*(Lists!$K$11/100))))</f>
        <v>-</v>
      </c>
      <c r="BK137" s="104" t="str">
        <f>IF(ISBLANK($BG137),"-",(IF(BE137="-","-",BE137*(Lists!$K$10/100))))</f>
        <v>-</v>
      </c>
      <c r="BL137" s="104" t="str">
        <f>IF(ISBLANK($BH137),"-",(IF(BE137="-","-",BE137*(Lists!$K$11/100))))</f>
        <v>-</v>
      </c>
      <c r="BM137" s="129"/>
      <c r="BN137" s="156"/>
      <c r="BO137" s="104" t="str">
        <f>IF(ISBLANK(BM137),"-",((Lists!$K$19/100)*(IF(BD137&lt;&gt;"-",BD137,BE137))))</f>
        <v>-</v>
      </c>
      <c r="BP137" s="104" t="str">
        <f>IF(ISBLANK(BN137),"-",((Lists!$K$20/100)*(IF(BD137&lt;&gt;"-",BD137,BE137))))</f>
        <v>-</v>
      </c>
    </row>
    <row r="138" spans="1:68" s="181" customFormat="1" ht="25.5" x14ac:dyDescent="0.25">
      <c r="A138" s="105" t="s">
        <v>87</v>
      </c>
      <c r="B138" s="128"/>
      <c r="C138" s="97" t="s">
        <v>64</v>
      </c>
      <c r="D138" s="97" t="s">
        <v>65</v>
      </c>
      <c r="E138" s="97">
        <v>825</v>
      </c>
      <c r="F138" s="97">
        <v>3.5</v>
      </c>
      <c r="G138" s="97">
        <f>E138*F138</f>
        <v>2887.5</v>
      </c>
      <c r="H138" s="97" t="s">
        <v>300</v>
      </c>
      <c r="I138" s="128"/>
      <c r="J138" s="96" t="s">
        <v>404</v>
      </c>
      <c r="K138" s="96" t="s">
        <v>341</v>
      </c>
      <c r="L138" s="97"/>
      <c r="M138" s="129"/>
      <c r="N138" s="129"/>
      <c r="O138" s="129"/>
      <c r="P138" s="129"/>
      <c r="Q138" s="129"/>
      <c r="R138" s="98" t="s">
        <v>15</v>
      </c>
      <c r="S138" s="98" t="s">
        <v>15</v>
      </c>
      <c r="T138" s="98" t="s">
        <v>15</v>
      </c>
      <c r="U138" s="96" t="s">
        <v>292</v>
      </c>
      <c r="V138" s="100"/>
      <c r="W138" s="100"/>
      <c r="X138" s="100"/>
      <c r="Y138" s="100"/>
      <c r="Z138" s="100"/>
      <c r="AA138" s="100"/>
      <c r="AB138" s="100"/>
      <c r="AC138" s="100"/>
      <c r="AD138" s="100"/>
      <c r="AE138" s="100"/>
      <c r="AF138" s="100"/>
      <c r="AG138" s="100"/>
      <c r="AH138" s="100"/>
      <c r="AI138" s="100" t="s">
        <v>299</v>
      </c>
      <c r="AJ138" s="100"/>
      <c r="AK138" s="100"/>
      <c r="AL138" s="100"/>
      <c r="AM138" s="100"/>
      <c r="AN138" s="100"/>
      <c r="AO138" s="100"/>
      <c r="AP138" s="100"/>
      <c r="AQ138" s="100"/>
      <c r="AR138" s="100"/>
      <c r="AS138" s="100"/>
      <c r="AT138" s="100"/>
      <c r="AU138" s="100"/>
      <c r="AV138" s="100"/>
      <c r="AW138" s="100"/>
      <c r="AX138" s="100"/>
      <c r="AY138" s="100"/>
      <c r="AZ138" s="100"/>
      <c r="BA138" s="100"/>
      <c r="BB138" s="107"/>
      <c r="BC138" s="102">
        <f>IF((SUMPRODUCT(--(V138:AV138&lt;&gt;""))=0),"0",(VLOOKUP((MATCH("X",$V138:$AV138,0)), Lists!$E$13:$G$39,3)))</f>
        <v>65</v>
      </c>
      <c r="BD138" s="103">
        <f t="shared" si="4"/>
        <v>187687.5</v>
      </c>
      <c r="BE138" s="103" t="str">
        <f t="shared" si="5"/>
        <v>-</v>
      </c>
      <c r="BF138" s="180"/>
      <c r="BG138" s="132" t="s">
        <v>15</v>
      </c>
      <c r="BH138" s="98" t="s">
        <v>15</v>
      </c>
      <c r="BI138" s="104">
        <f>IF(ISBLANK($BG138),"-",(IF(BD138="-","-",BD138*(Lists!$K$10/100))))</f>
        <v>28153.125</v>
      </c>
      <c r="BJ138" s="104">
        <f>IF(ISBLANK($BH138),"-",(IF(BD138="-","-",BD138*(Lists!$K$11/100))))</f>
        <v>18768.75</v>
      </c>
      <c r="BK138" s="104" t="str">
        <f>IF(ISBLANK($BG138),"-",(IF(BE138="-","-",BE138*(Lists!$K$10/100))))</f>
        <v>-</v>
      </c>
      <c r="BL138" s="104" t="str">
        <f>IF(ISBLANK($BH138),"-",(IF(BE138="-","-",BE138*(Lists!$K$11/100))))</f>
        <v>-</v>
      </c>
      <c r="BM138" s="98"/>
      <c r="BN138" s="98" t="s">
        <v>15</v>
      </c>
      <c r="BO138" s="104" t="str">
        <f>IF(ISBLANK(BM138),"-",((Lists!$K$19/100)*(IF(BD138&lt;&gt;"-",BD138,BE138))))</f>
        <v>-</v>
      </c>
      <c r="BP138" s="104">
        <f>IF(ISBLANK(BN138),"-",((Lists!$K$20/100)*(IF(BD138&lt;&gt;"-",BD138,BE138))))</f>
        <v>9384.375</v>
      </c>
    </row>
    <row r="139" spans="1:68" ht="63.75" x14ac:dyDescent="0.25">
      <c r="A139" s="105" t="s">
        <v>87</v>
      </c>
      <c r="B139" s="128"/>
      <c r="C139" s="97" t="s">
        <v>65</v>
      </c>
      <c r="D139" s="97" t="s">
        <v>66</v>
      </c>
      <c r="E139" s="97">
        <v>538</v>
      </c>
      <c r="F139" s="97" t="s">
        <v>110</v>
      </c>
      <c r="G139" s="97">
        <v>538</v>
      </c>
      <c r="H139" s="97" t="s">
        <v>295</v>
      </c>
      <c r="I139" s="128"/>
      <c r="J139" s="96" t="s">
        <v>97</v>
      </c>
      <c r="K139" s="96" t="s">
        <v>684</v>
      </c>
      <c r="L139" s="128"/>
      <c r="M139" s="98" t="s">
        <v>15</v>
      </c>
      <c r="N139" s="129"/>
      <c r="O139" s="129"/>
      <c r="P139" s="129"/>
      <c r="Q139" s="129"/>
      <c r="R139" s="98" t="s">
        <v>15</v>
      </c>
      <c r="S139" s="98" t="s">
        <v>15</v>
      </c>
      <c r="T139" s="98" t="s">
        <v>15</v>
      </c>
      <c r="U139" s="96" t="s">
        <v>405</v>
      </c>
      <c r="V139" s="100"/>
      <c r="W139" s="100"/>
      <c r="X139" s="100"/>
      <c r="Y139" s="100"/>
      <c r="Z139" s="100"/>
      <c r="AA139" s="100" t="s">
        <v>299</v>
      </c>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7"/>
      <c r="BC139" s="102">
        <f>IF((SUMPRODUCT(--(V139:AV139&lt;&gt;""))=0),"0",(VLOOKUP((MATCH("X",$V139:$AV139,0)), Lists!$E$13:$G$39,3)))</f>
        <v>155</v>
      </c>
      <c r="BD139" s="103">
        <f t="shared" si="4"/>
        <v>83390</v>
      </c>
      <c r="BE139" s="103" t="str">
        <f t="shared" si="5"/>
        <v>-</v>
      </c>
      <c r="BF139" s="82"/>
      <c r="BG139" s="132" t="s">
        <v>15</v>
      </c>
      <c r="BH139" s="98" t="s">
        <v>15</v>
      </c>
      <c r="BI139" s="104">
        <f>IF(ISBLANK($BG139),"-",(IF(BD139="-","-",BD139*(Lists!$K$10/100))))</f>
        <v>12508.5</v>
      </c>
      <c r="BJ139" s="104">
        <f>IF(ISBLANK($BH139),"-",(IF(BD139="-","-",BD139*(Lists!$K$11/100))))</f>
        <v>8339</v>
      </c>
      <c r="BK139" s="104" t="str">
        <f>IF(ISBLANK($BG139),"-",(IF(BE139="-","-",BE139*(Lists!$K$10/100))))</f>
        <v>-</v>
      </c>
      <c r="BL139" s="104" t="str">
        <f>IF(ISBLANK($BH139),"-",(IF(BE139="-","-",BE139*(Lists!$K$11/100))))</f>
        <v>-</v>
      </c>
      <c r="BM139" s="98"/>
      <c r="BN139" s="98" t="s">
        <v>15</v>
      </c>
      <c r="BO139" s="104" t="str">
        <f>IF(ISBLANK(BM139),"-",((Lists!$K$19/100)*(IF(BD139&lt;&gt;"-",BD139,BE139))))</f>
        <v>-</v>
      </c>
      <c r="BP139" s="104">
        <f>IF(ISBLANK(BN139),"-",((Lists!$K$20/100)*(IF(BD139&lt;&gt;"-",BD139,BE139))))</f>
        <v>4169.5</v>
      </c>
    </row>
    <row r="140" spans="1:68" s="181" customFormat="1" ht="38.25" x14ac:dyDescent="0.25">
      <c r="A140" s="105" t="s">
        <v>87</v>
      </c>
      <c r="B140" s="128"/>
      <c r="C140" s="97" t="s">
        <v>66</v>
      </c>
      <c r="D140" s="97" t="s">
        <v>67</v>
      </c>
      <c r="E140" s="97">
        <v>748</v>
      </c>
      <c r="F140" s="97">
        <v>4</v>
      </c>
      <c r="G140" s="97">
        <f>E140*F140</f>
        <v>2992</v>
      </c>
      <c r="H140" s="97" t="s">
        <v>300</v>
      </c>
      <c r="I140" s="128"/>
      <c r="J140" s="96" t="s">
        <v>407</v>
      </c>
      <c r="K140" s="96" t="s">
        <v>431</v>
      </c>
      <c r="L140" s="128"/>
      <c r="M140" s="129"/>
      <c r="N140" s="129" t="s">
        <v>15</v>
      </c>
      <c r="O140" s="129"/>
      <c r="P140" s="129"/>
      <c r="Q140" s="129"/>
      <c r="R140" s="129"/>
      <c r="S140" s="129"/>
      <c r="T140" s="129"/>
      <c r="U140" s="96" t="s">
        <v>406</v>
      </c>
      <c r="V140" s="100"/>
      <c r="W140" s="100"/>
      <c r="X140" s="100"/>
      <c r="Y140" s="100"/>
      <c r="Z140" s="100"/>
      <c r="AA140" s="100"/>
      <c r="AB140" s="100"/>
      <c r="AC140" s="100"/>
      <c r="AD140" s="100"/>
      <c r="AE140" s="100"/>
      <c r="AF140" s="100"/>
      <c r="AG140" s="100"/>
      <c r="AH140" s="100"/>
      <c r="AI140" s="100" t="s">
        <v>299</v>
      </c>
      <c r="AJ140" s="100"/>
      <c r="AK140" s="100"/>
      <c r="AL140" s="100"/>
      <c r="AM140" s="100"/>
      <c r="AN140" s="100"/>
      <c r="AO140" s="100"/>
      <c r="AP140" s="100"/>
      <c r="AQ140" s="100"/>
      <c r="AR140" s="100"/>
      <c r="AS140" s="100"/>
      <c r="AT140" s="100"/>
      <c r="AU140" s="100"/>
      <c r="AV140" s="100"/>
      <c r="AW140" s="100"/>
      <c r="AX140" s="100"/>
      <c r="AY140" s="100"/>
      <c r="AZ140" s="100"/>
      <c r="BA140" s="100"/>
      <c r="BB140" s="107"/>
      <c r="BC140" s="102">
        <f>IF((SUMPRODUCT(--(V140:AV140&lt;&gt;""))=0),"0",(VLOOKUP((MATCH("X",$V140:$AV140,0)), Lists!$E$13:$G$39,3)))</f>
        <v>65</v>
      </c>
      <c r="BD140" s="103">
        <f t="shared" si="4"/>
        <v>194480</v>
      </c>
      <c r="BE140" s="103" t="str">
        <f t="shared" si="5"/>
        <v>-</v>
      </c>
      <c r="BF140" s="180"/>
      <c r="BG140" s="132" t="s">
        <v>15</v>
      </c>
      <c r="BH140" s="98" t="s">
        <v>15</v>
      </c>
      <c r="BI140" s="104">
        <f>IF(ISBLANK($BG140),"-",(IF(BD140="-","-",BD140*(Lists!$K$10/100))))</f>
        <v>29172</v>
      </c>
      <c r="BJ140" s="104">
        <f>IF(ISBLANK($BH140),"-",(IF(BD140="-","-",BD140*(Lists!$K$11/100))))</f>
        <v>19448</v>
      </c>
      <c r="BK140" s="104" t="str">
        <f>IF(ISBLANK($BG140),"-",(IF(BE140="-","-",BE140*(Lists!$K$10/100))))</f>
        <v>-</v>
      </c>
      <c r="BL140" s="104" t="str">
        <f>IF(ISBLANK($BH140),"-",(IF(BE140="-","-",BE140*(Lists!$K$11/100))))</f>
        <v>-</v>
      </c>
      <c r="BM140" s="129"/>
      <c r="BN140" s="98" t="s">
        <v>15</v>
      </c>
      <c r="BO140" s="104" t="str">
        <f>IF(ISBLANK(BM140),"-",((Lists!$K$19/100)*(IF(BD140&lt;&gt;"-",BD140,BE140))))</f>
        <v>-</v>
      </c>
      <c r="BP140" s="104">
        <f>IF(ISBLANK(BN140),"-",((Lists!$K$20/100)*(IF(BD140&lt;&gt;"-",BD140,BE140))))</f>
        <v>9724</v>
      </c>
    </row>
    <row r="141" spans="1:68" s="181" customFormat="1" ht="25.5" x14ac:dyDescent="0.25">
      <c r="A141" s="128" t="s">
        <v>87</v>
      </c>
      <c r="B141" s="128"/>
      <c r="C141" s="309" t="s">
        <v>172</v>
      </c>
      <c r="D141" s="310" t="s">
        <v>110</v>
      </c>
      <c r="E141" s="97">
        <v>7</v>
      </c>
      <c r="F141" s="97">
        <v>5</v>
      </c>
      <c r="G141" s="97">
        <f>E141*F141</f>
        <v>35</v>
      </c>
      <c r="H141" s="97" t="s">
        <v>300</v>
      </c>
      <c r="I141" s="128"/>
      <c r="J141" s="96" t="s">
        <v>408</v>
      </c>
      <c r="K141" s="141" t="s">
        <v>334</v>
      </c>
      <c r="L141" s="128">
        <v>30</v>
      </c>
      <c r="M141" s="129"/>
      <c r="N141" s="129"/>
      <c r="O141" s="129"/>
      <c r="P141" s="129"/>
      <c r="Q141" s="129"/>
      <c r="R141" s="129"/>
      <c r="S141" s="129"/>
      <c r="T141" s="129"/>
      <c r="U141" s="96" t="s">
        <v>173</v>
      </c>
      <c r="V141" s="100"/>
      <c r="W141" s="100"/>
      <c r="X141" s="100"/>
      <c r="Y141" s="100"/>
      <c r="Z141" s="100"/>
      <c r="AA141" s="100"/>
      <c r="AB141" s="100"/>
      <c r="AC141" s="100"/>
      <c r="AD141" s="100"/>
      <c r="AE141" s="100"/>
      <c r="AF141" s="100"/>
      <c r="AG141" s="100"/>
      <c r="AH141" s="100"/>
      <c r="AI141" s="100" t="s">
        <v>299</v>
      </c>
      <c r="AJ141" s="100"/>
      <c r="AK141" s="100"/>
      <c r="AL141" s="100"/>
      <c r="AM141" s="100"/>
      <c r="AN141" s="100"/>
      <c r="AO141" s="100"/>
      <c r="AP141" s="100"/>
      <c r="AQ141" s="100"/>
      <c r="AR141" s="100"/>
      <c r="AS141" s="100"/>
      <c r="AT141" s="100"/>
      <c r="AU141" s="100"/>
      <c r="AV141" s="100"/>
      <c r="AW141" s="100"/>
      <c r="AX141" s="100"/>
      <c r="AY141" s="100"/>
      <c r="AZ141" s="100"/>
      <c r="BA141" s="100"/>
      <c r="BB141" s="107"/>
      <c r="BC141" s="102">
        <f>IF((SUMPRODUCT(--(V141:AV141&lt;&gt;""))=0),"0",(VLOOKUP((MATCH("X",$V141:$AV141,0)), Lists!$E$13:$G$39,3)))</f>
        <v>65</v>
      </c>
      <c r="BD141" s="103">
        <f t="shared" si="4"/>
        <v>2275</v>
      </c>
      <c r="BE141" s="103" t="str">
        <f t="shared" si="5"/>
        <v>-</v>
      </c>
      <c r="BF141" s="180"/>
      <c r="BG141" s="132" t="s">
        <v>15</v>
      </c>
      <c r="BH141" s="98"/>
      <c r="BI141" s="104">
        <f>IF(ISBLANK($BG141),"-",(IF(BD141="-","-",BD141*(Lists!$K$10/100))))</f>
        <v>341.25</v>
      </c>
      <c r="BJ141" s="104" t="str">
        <f>IF(ISBLANK($BH141),"-",(IF(BD141="-","-",BD141*(Lists!$K$11/100))))</f>
        <v>-</v>
      </c>
      <c r="BK141" s="104" t="str">
        <f>IF(ISBLANK($BG141),"-",(IF(BE141="-","-",BE141*(Lists!$K$10/100))))</f>
        <v>-</v>
      </c>
      <c r="BL141" s="104" t="str">
        <f>IF(ISBLANK($BH141),"-",(IF(BE141="-","-",BE141*(Lists!$K$11/100))))</f>
        <v>-</v>
      </c>
      <c r="BM141" s="129"/>
      <c r="BN141" s="98"/>
      <c r="BO141" s="104" t="str">
        <f>IF(ISBLANK(BM141),"-",((Lists!$K$19/100)*(IF(BD141&lt;&gt;"-",BD141,BE141))))</f>
        <v>-</v>
      </c>
      <c r="BP141" s="104" t="str">
        <f>IF(ISBLANK(BN141),"-",((Lists!$K$20/100)*(IF(BD141&lt;&gt;"-",BD141,BE141))))</f>
        <v>-</v>
      </c>
    </row>
    <row r="142" spans="1:68" s="181" customFormat="1" ht="25.5" x14ac:dyDescent="0.25">
      <c r="A142" s="128" t="s">
        <v>87</v>
      </c>
      <c r="B142" s="128"/>
      <c r="C142" s="309"/>
      <c r="D142" s="309"/>
      <c r="E142" s="97" t="s">
        <v>110</v>
      </c>
      <c r="F142" s="97" t="s">
        <v>110</v>
      </c>
      <c r="G142" s="97">
        <v>1</v>
      </c>
      <c r="H142" s="97" t="s">
        <v>294</v>
      </c>
      <c r="I142" s="128"/>
      <c r="J142" s="96" t="s">
        <v>454</v>
      </c>
      <c r="K142" s="141" t="s">
        <v>334</v>
      </c>
      <c r="L142" s="128">
        <v>30</v>
      </c>
      <c r="M142" s="129"/>
      <c r="N142" s="129"/>
      <c r="O142" s="129"/>
      <c r="P142" s="129"/>
      <c r="Q142" s="129"/>
      <c r="R142" s="129"/>
      <c r="S142" s="129"/>
      <c r="T142" s="129"/>
      <c r="U142" s="96" t="s">
        <v>173</v>
      </c>
      <c r="V142" s="100" t="s">
        <v>299</v>
      </c>
      <c r="W142" s="100"/>
      <c r="X142" s="100"/>
      <c r="Y142" s="100"/>
      <c r="Z142" s="100"/>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c r="BB142" s="107"/>
      <c r="BC142" s="102">
        <f>IF((SUMPRODUCT(--(V142:AV142&lt;&gt;""))=0),"0",(VLOOKUP((MATCH("X",$V142:$AV142,0)), Lists!$E$13:$G$39,3)))</f>
        <v>10950</v>
      </c>
      <c r="BD142" s="103">
        <f t="shared" si="4"/>
        <v>10950</v>
      </c>
      <c r="BE142" s="103" t="str">
        <f t="shared" si="5"/>
        <v>-</v>
      </c>
      <c r="BF142" s="180"/>
      <c r="BG142" s="132" t="s">
        <v>15</v>
      </c>
      <c r="BH142" s="98"/>
      <c r="BI142" s="104">
        <f>IF(ISBLANK($BG142),"-",(IF(BD142="-","-",BD142*(Lists!$K$10/100))))</f>
        <v>1642.5</v>
      </c>
      <c r="BJ142" s="104" t="str">
        <f>IF(ISBLANK($BH142),"-",(IF(BD142="-","-",BD142*(Lists!$K$11/100))))</f>
        <v>-</v>
      </c>
      <c r="BK142" s="104" t="str">
        <f>IF(ISBLANK($BG142),"-",(IF(BE142="-","-",BE142*(Lists!$K$10/100))))</f>
        <v>-</v>
      </c>
      <c r="BL142" s="104" t="str">
        <f>IF(ISBLANK($BH142),"-",(IF(BE142="-","-",BE142*(Lists!$K$11/100))))</f>
        <v>-</v>
      </c>
      <c r="BM142" s="129"/>
      <c r="BN142" s="129"/>
      <c r="BO142" s="104" t="str">
        <f>IF(ISBLANK(BM142),"-",((Lists!$K$19/100)*(IF(BD142&lt;&gt;"-",BD142,BE142))))</f>
        <v>-</v>
      </c>
      <c r="BP142" s="104" t="str">
        <f>IF(ISBLANK(BN142),"-",((Lists!$K$20/100)*(IF(BD142&lt;&gt;"-",BD142,BE142))))</f>
        <v>-</v>
      </c>
    </row>
    <row r="143" spans="1:68" s="183" customFormat="1" ht="25.5" x14ac:dyDescent="0.25">
      <c r="A143" s="109" t="s">
        <v>87</v>
      </c>
      <c r="B143" s="182"/>
      <c r="C143" s="110" t="s">
        <v>67</v>
      </c>
      <c r="D143" s="110" t="s">
        <v>68</v>
      </c>
      <c r="E143" s="110">
        <v>230</v>
      </c>
      <c r="F143" s="110" t="s">
        <v>110</v>
      </c>
      <c r="G143" s="110" t="s">
        <v>110</v>
      </c>
      <c r="H143" s="110" t="s">
        <v>110</v>
      </c>
      <c r="I143" s="182"/>
      <c r="J143" s="112" t="s">
        <v>101</v>
      </c>
      <c r="K143" s="112" t="s">
        <v>335</v>
      </c>
      <c r="L143" s="182"/>
      <c r="M143" s="164"/>
      <c r="N143" s="164"/>
      <c r="O143" s="164"/>
      <c r="P143" s="164"/>
      <c r="Q143" s="164"/>
      <c r="R143" s="164"/>
      <c r="S143" s="164"/>
      <c r="T143" s="164"/>
      <c r="U143" s="112" t="s">
        <v>107</v>
      </c>
      <c r="V143" s="114"/>
      <c r="W143" s="114"/>
      <c r="X143" s="114"/>
      <c r="Y143" s="114"/>
      <c r="Z143" s="114"/>
      <c r="AA143" s="114"/>
      <c r="AB143" s="114"/>
      <c r="AC143" s="114"/>
      <c r="AD143" s="114"/>
      <c r="AE143" s="114"/>
      <c r="AF143" s="114"/>
      <c r="AG143" s="114"/>
      <c r="AH143" s="114"/>
      <c r="AI143" s="114"/>
      <c r="AJ143" s="114"/>
      <c r="AK143" s="114"/>
      <c r="AL143" s="114"/>
      <c r="AM143" s="114"/>
      <c r="AN143" s="114"/>
      <c r="AO143" s="114"/>
      <c r="AP143" s="114"/>
      <c r="AQ143" s="114"/>
      <c r="AR143" s="114"/>
      <c r="AS143" s="114"/>
      <c r="AT143" s="114"/>
      <c r="AU143" s="114"/>
      <c r="AV143" s="114"/>
      <c r="AW143" s="114"/>
      <c r="AX143" s="114"/>
      <c r="AY143" s="114"/>
      <c r="AZ143" s="114"/>
      <c r="BA143" s="114"/>
      <c r="BB143" s="115"/>
      <c r="BC143" s="102" t="str">
        <f>IF((SUMPRODUCT(--(V143:AV143&lt;&gt;""))=0),"0",(VLOOKUP((MATCH("X",$V143:$AV143,0)), Lists!$E$13:$G$39,3)))</f>
        <v>0</v>
      </c>
      <c r="BD143" s="103" t="str">
        <f t="shared" si="4"/>
        <v>-</v>
      </c>
      <c r="BE143" s="103" t="str">
        <f t="shared" si="5"/>
        <v>-</v>
      </c>
      <c r="BF143" s="182"/>
      <c r="BG143" s="113"/>
      <c r="BH143" s="113"/>
      <c r="BI143" s="117" t="str">
        <f>IF(ISBLANK($BG143),"-",(IF(BD143="-","-",BD143*(Lists!$K$10/100))))</f>
        <v>-</v>
      </c>
      <c r="BJ143" s="117" t="str">
        <f>IF(ISBLANK($BH143),"-",(IF(BD143="-","-",BD143*(Lists!$K$11/100))))</f>
        <v>-</v>
      </c>
      <c r="BK143" s="117" t="str">
        <f>IF(ISBLANK($BG143),"-",(IF(BE143="-","-",BE143*(Lists!$K$10/100))))</f>
        <v>-</v>
      </c>
      <c r="BL143" s="117" t="str">
        <f>IF(ISBLANK($BH143),"-",(IF(BE143="-","-",BE143*(Lists!$K$11/100))))</f>
        <v>-</v>
      </c>
      <c r="BM143" s="164"/>
      <c r="BN143" s="164"/>
      <c r="BO143" s="117" t="str">
        <f>IF(ISBLANK(BM143),"-",((Lists!$K$19/100)*(IF(BD143&lt;&gt;"-",BD143,BE143))))</f>
        <v>-</v>
      </c>
      <c r="BP143" s="117" t="str">
        <f>IF(ISBLANK(BN143),"-",((Lists!$K$20/100)*(IF(BD143&lt;&gt;"-",BD143,BE143))))</f>
        <v>-</v>
      </c>
    </row>
    <row r="144" spans="1:68" s="179" customFormat="1" ht="63.75" x14ac:dyDescent="0.25">
      <c r="A144" s="105" t="s">
        <v>91</v>
      </c>
      <c r="B144" s="128"/>
      <c r="C144" s="97" t="s">
        <v>68</v>
      </c>
      <c r="D144" s="97" t="s">
        <v>69</v>
      </c>
      <c r="E144" s="97">
        <v>1193</v>
      </c>
      <c r="F144" s="97" t="s">
        <v>110</v>
      </c>
      <c r="G144" s="97">
        <v>1066</v>
      </c>
      <c r="H144" s="97" t="s">
        <v>295</v>
      </c>
      <c r="I144" s="128"/>
      <c r="J144" s="96" t="s">
        <v>650</v>
      </c>
      <c r="K144" s="96" t="s">
        <v>345</v>
      </c>
      <c r="L144" s="128"/>
      <c r="M144" s="129"/>
      <c r="N144" s="129"/>
      <c r="O144" s="129"/>
      <c r="P144" s="129"/>
      <c r="Q144" s="129"/>
      <c r="R144" s="129"/>
      <c r="S144" s="129"/>
      <c r="T144" s="129"/>
      <c r="U144" s="96" t="s">
        <v>174</v>
      </c>
      <c r="V144" s="100"/>
      <c r="W144" s="100"/>
      <c r="X144" s="100"/>
      <c r="Y144" s="100"/>
      <c r="Z144" s="100"/>
      <c r="AA144" s="100"/>
      <c r="AB144" s="100"/>
      <c r="AC144" s="100"/>
      <c r="AD144" s="100"/>
      <c r="AE144" s="100"/>
      <c r="AF144" s="100"/>
      <c r="AG144" s="100"/>
      <c r="AH144" s="100"/>
      <c r="AI144" s="100"/>
      <c r="AJ144" s="100"/>
      <c r="AK144" s="100"/>
      <c r="AL144" s="100"/>
      <c r="AM144" s="100"/>
      <c r="AN144" s="100"/>
      <c r="AO144" s="100"/>
      <c r="AP144" s="100" t="s">
        <v>299</v>
      </c>
      <c r="AQ144" s="100"/>
      <c r="AR144" s="100"/>
      <c r="AS144" s="100"/>
      <c r="AT144" s="100"/>
      <c r="AU144" s="100"/>
      <c r="AV144" s="100"/>
      <c r="AW144" s="100"/>
      <c r="AX144" s="100"/>
      <c r="AY144" s="100"/>
      <c r="AZ144" s="100"/>
      <c r="BA144" s="100"/>
      <c r="BB144" s="107"/>
      <c r="BC144" s="102">
        <f>IF((SUMPRODUCT(--(V144:AV144&lt;&gt;""))=0),"0",(VLOOKUP((MATCH("X",$V144:$AV144,0)), Lists!$E$13:$G$39,3)))</f>
        <v>175</v>
      </c>
      <c r="BD144" s="103">
        <f t="shared" si="4"/>
        <v>186550</v>
      </c>
      <c r="BE144" s="103" t="str">
        <f t="shared" si="5"/>
        <v>-</v>
      </c>
      <c r="BF144" s="128"/>
      <c r="BG144" s="98" t="s">
        <v>15</v>
      </c>
      <c r="BH144" s="98"/>
      <c r="BI144" s="104">
        <f>IF(ISBLANK($BG144),"-",(IF(BD144="-","-",BD144*(Lists!$K$10/100))))</f>
        <v>27982.5</v>
      </c>
      <c r="BJ144" s="104" t="str">
        <f>IF(ISBLANK($BH144),"-",(IF(BD144="-","-",BD144*(Lists!$K$11/100))))</f>
        <v>-</v>
      </c>
      <c r="BK144" s="104" t="str">
        <f>IF(ISBLANK($BG144),"-",(IF(BE144="-","-",BE144*(Lists!$K$10/100))))</f>
        <v>-</v>
      </c>
      <c r="BL144" s="104" t="str">
        <f>IF(ISBLANK($BH144),"-",(IF(BE144="-","-",BE144*(Lists!$K$11/100))))</f>
        <v>-</v>
      </c>
      <c r="BM144" s="129"/>
      <c r="BN144" s="98" t="s">
        <v>15</v>
      </c>
      <c r="BO144" s="104" t="str">
        <f>IF(ISBLANK(BM144),"-",((Lists!$K$19/100)*(IF(BD144&lt;&gt;"-",BD144,BE144))))</f>
        <v>-</v>
      </c>
      <c r="BP144" s="104">
        <f>IF(ISBLANK(BN144),"-",((Lists!$K$20/100)*(IF(BD144&lt;&gt;"-",BD144,BE144))))</f>
        <v>9327.5</v>
      </c>
    </row>
    <row r="145" spans="1:68" s="181" customFormat="1" x14ac:dyDescent="0.25">
      <c r="A145" s="130" t="s">
        <v>91</v>
      </c>
      <c r="B145" s="130"/>
      <c r="C145" s="307" t="s">
        <v>69</v>
      </c>
      <c r="D145" s="307" t="s">
        <v>175</v>
      </c>
      <c r="E145" s="307">
        <v>225</v>
      </c>
      <c r="F145" s="307" t="s">
        <v>110</v>
      </c>
      <c r="G145" s="97">
        <v>225</v>
      </c>
      <c r="H145" s="97" t="s">
        <v>295</v>
      </c>
      <c r="I145" s="302"/>
      <c r="J145" s="96" t="s">
        <v>409</v>
      </c>
      <c r="K145" s="96" t="s">
        <v>684</v>
      </c>
      <c r="L145" s="302"/>
      <c r="M145" s="305"/>
      <c r="N145" s="305"/>
      <c r="O145" s="305"/>
      <c r="P145" s="305"/>
      <c r="Q145" s="305"/>
      <c r="R145" s="305"/>
      <c r="S145" s="305"/>
      <c r="T145" s="305"/>
      <c r="U145" s="314" t="s">
        <v>108</v>
      </c>
      <c r="V145" s="100"/>
      <c r="W145" s="100"/>
      <c r="X145" s="100"/>
      <c r="Y145" s="100"/>
      <c r="Z145" s="100"/>
      <c r="AA145" s="100"/>
      <c r="AB145" s="100"/>
      <c r="AC145" s="100"/>
      <c r="AD145" s="100"/>
      <c r="AE145" s="100"/>
      <c r="AF145" s="100"/>
      <c r="AG145" s="100"/>
      <c r="AH145" s="100"/>
      <c r="AI145" s="100"/>
      <c r="AJ145" s="100"/>
      <c r="AK145" s="100"/>
      <c r="AL145" s="100"/>
      <c r="AM145" s="100"/>
      <c r="AN145" s="100"/>
      <c r="AO145" s="100"/>
      <c r="AP145" s="100"/>
      <c r="AQ145" s="100"/>
      <c r="AR145" s="100" t="s">
        <v>299</v>
      </c>
      <c r="AS145" s="100"/>
      <c r="AT145" s="100"/>
      <c r="AU145" s="100"/>
      <c r="AV145" s="100"/>
      <c r="AW145" s="100"/>
      <c r="AX145" s="100"/>
      <c r="AY145" s="100"/>
      <c r="AZ145" s="100"/>
      <c r="BA145" s="100"/>
      <c r="BB145" s="107"/>
      <c r="BC145" s="102">
        <f>IF((SUMPRODUCT(--(V145:AV145&lt;&gt;""))=0),"0",(VLOOKUP((MATCH("X",$V145:$AV145,0)), Lists!$E$13:$G$39,3)))</f>
        <v>510</v>
      </c>
      <c r="BD145" s="103">
        <f t="shared" si="4"/>
        <v>114750</v>
      </c>
      <c r="BE145" s="103" t="str">
        <f t="shared" si="5"/>
        <v>-</v>
      </c>
      <c r="BF145" s="180"/>
      <c r="BG145" s="98" t="s">
        <v>15</v>
      </c>
      <c r="BH145" s="132" t="s">
        <v>15</v>
      </c>
      <c r="BI145" s="104">
        <f>IF(ISBLANK($BG145),"-",(IF(BD145="-","-",BD145*(Lists!$K$10/100))))</f>
        <v>17212.5</v>
      </c>
      <c r="BJ145" s="104">
        <f>IF(ISBLANK($BH145),"-",(IF(BD145="-","-",BD145*(Lists!$K$11/100))))</f>
        <v>11475</v>
      </c>
      <c r="BK145" s="104" t="str">
        <f>IF(ISBLANK($BG145),"-",(IF(BE145="-","-",BE145*(Lists!$K$10/100))))</f>
        <v>-</v>
      </c>
      <c r="BL145" s="104" t="str">
        <f>IF(ISBLANK($BH145),"-",(IF(BE145="-","-",BE145*(Lists!$K$11/100))))</f>
        <v>-</v>
      </c>
      <c r="BM145" s="133"/>
      <c r="BN145" s="98" t="s">
        <v>15</v>
      </c>
      <c r="BO145" s="104" t="str">
        <f>IF(ISBLANK(BM145),"-",((Lists!$K$19/100)*(IF(BD145&lt;&gt;"-",BD145,BE145))))</f>
        <v>-</v>
      </c>
      <c r="BP145" s="104">
        <f>IF(ISBLANK(BN145),"-",((Lists!$K$20/100)*(IF(BD145&lt;&gt;"-",BD145,BE145))))</f>
        <v>5737.5</v>
      </c>
    </row>
    <row r="146" spans="1:68" s="181" customFormat="1" x14ac:dyDescent="0.25">
      <c r="A146" s="130" t="s">
        <v>91</v>
      </c>
      <c r="B146" s="131"/>
      <c r="C146" s="308"/>
      <c r="D146" s="308"/>
      <c r="E146" s="308"/>
      <c r="F146" s="308"/>
      <c r="G146" s="97">
        <v>225</v>
      </c>
      <c r="H146" s="97" t="s">
        <v>295</v>
      </c>
      <c r="I146" s="304"/>
      <c r="J146" s="96" t="s">
        <v>410</v>
      </c>
      <c r="K146" s="96" t="s">
        <v>684</v>
      </c>
      <c r="L146" s="304"/>
      <c r="M146" s="306"/>
      <c r="N146" s="306"/>
      <c r="O146" s="306"/>
      <c r="P146" s="306"/>
      <c r="Q146" s="306"/>
      <c r="R146" s="306"/>
      <c r="S146" s="306"/>
      <c r="T146" s="306"/>
      <c r="U146" s="304"/>
      <c r="V146" s="100"/>
      <c r="W146" s="100"/>
      <c r="X146" s="100"/>
      <c r="Y146" s="100"/>
      <c r="Z146" s="100"/>
      <c r="AA146" s="100"/>
      <c r="AB146" s="100"/>
      <c r="AC146" s="100"/>
      <c r="AD146" s="100"/>
      <c r="AE146" s="100"/>
      <c r="AF146" s="100"/>
      <c r="AG146" s="100"/>
      <c r="AH146" s="100"/>
      <c r="AI146" s="100"/>
      <c r="AJ146" s="100" t="s">
        <v>299</v>
      </c>
      <c r="AK146" s="100"/>
      <c r="AL146" s="100"/>
      <c r="AM146" s="100"/>
      <c r="AN146" s="100"/>
      <c r="AO146" s="100"/>
      <c r="AP146" s="100"/>
      <c r="AQ146" s="100"/>
      <c r="AR146" s="100"/>
      <c r="AS146" s="100"/>
      <c r="AT146" s="100"/>
      <c r="AU146" s="100"/>
      <c r="AV146" s="100"/>
      <c r="AW146" s="100"/>
      <c r="AX146" s="100"/>
      <c r="AY146" s="100"/>
      <c r="AZ146" s="100"/>
      <c r="BA146" s="100"/>
      <c r="BB146" s="107"/>
      <c r="BC146" s="102">
        <f>IF((SUMPRODUCT(--(V146:AV146&lt;&gt;""))=0),"0",(VLOOKUP((MATCH("X",$V146:$AV146,0)), Lists!$E$13:$G$39,3)))</f>
        <v>36</v>
      </c>
      <c r="BD146" s="103">
        <f t="shared" si="4"/>
        <v>8100</v>
      </c>
      <c r="BE146" s="103" t="str">
        <f t="shared" si="5"/>
        <v>-</v>
      </c>
      <c r="BF146" s="180"/>
      <c r="BG146" s="98" t="s">
        <v>15</v>
      </c>
      <c r="BH146" s="132" t="s">
        <v>15</v>
      </c>
      <c r="BI146" s="104">
        <f>IF(ISBLANK($BG146),"-",(IF(BD146="-","-",BD146*(Lists!$K$10/100))))</f>
        <v>1215</v>
      </c>
      <c r="BJ146" s="104">
        <f>IF(ISBLANK($BH146),"-",(IF(BD146="-","-",BD146*(Lists!$K$11/100))))</f>
        <v>810</v>
      </c>
      <c r="BK146" s="104" t="str">
        <f>IF(ISBLANK($BG146),"-",(IF(BE146="-","-",BE146*(Lists!$K$10/100))))</f>
        <v>-</v>
      </c>
      <c r="BL146" s="104" t="str">
        <f>IF(ISBLANK($BH146),"-",(IF(BE146="-","-",BE146*(Lists!$K$11/100))))</f>
        <v>-</v>
      </c>
      <c r="BM146" s="142"/>
      <c r="BN146" s="98" t="s">
        <v>15</v>
      </c>
      <c r="BO146" s="104" t="str">
        <f>IF(ISBLANK(BM146),"-",((Lists!$K$19/100)*(IF(BD146&lt;&gt;"-",BD146,BE146))))</f>
        <v>-</v>
      </c>
      <c r="BP146" s="104">
        <f>IF(ISBLANK(BN146),"-",((Lists!$K$20/100)*(IF(BD146&lt;&gt;"-",BD146,BE146))))</f>
        <v>405</v>
      </c>
    </row>
    <row r="147" spans="1:68" s="181" customFormat="1" ht="25.5" x14ac:dyDescent="0.25">
      <c r="A147" s="130" t="s">
        <v>91</v>
      </c>
      <c r="B147" s="130"/>
      <c r="C147" s="307" t="s">
        <v>175</v>
      </c>
      <c r="D147" s="307" t="s">
        <v>102</v>
      </c>
      <c r="E147" s="307">
        <v>65</v>
      </c>
      <c r="F147" s="307" t="s">
        <v>110</v>
      </c>
      <c r="G147" s="97">
        <v>65</v>
      </c>
      <c r="H147" s="97" t="s">
        <v>295</v>
      </c>
      <c r="I147" s="128"/>
      <c r="J147" s="96" t="s">
        <v>455</v>
      </c>
      <c r="K147" s="314" t="s">
        <v>391</v>
      </c>
      <c r="L147" s="302"/>
      <c r="M147" s="305"/>
      <c r="N147" s="305" t="s">
        <v>15</v>
      </c>
      <c r="O147" s="305"/>
      <c r="P147" s="305"/>
      <c r="Q147" s="305"/>
      <c r="R147" s="305"/>
      <c r="S147" s="305"/>
      <c r="T147" s="305"/>
      <c r="U147" s="330" t="s">
        <v>456</v>
      </c>
      <c r="V147" s="100"/>
      <c r="W147" s="100"/>
      <c r="X147" s="100"/>
      <c r="Y147" s="100"/>
      <c r="Z147" s="100"/>
      <c r="AA147" s="100" t="s">
        <v>299</v>
      </c>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c r="BB147" s="107"/>
      <c r="BC147" s="102">
        <f>IF((SUMPRODUCT(--(V147:AV147&lt;&gt;""))=0),"0",(VLOOKUP((MATCH("X",$V147:$AV147,0)), Lists!$E$13:$G$39,3)))</f>
        <v>155</v>
      </c>
      <c r="BD147" s="103">
        <f t="shared" si="4"/>
        <v>10075</v>
      </c>
      <c r="BE147" s="103" t="str">
        <f t="shared" si="5"/>
        <v>-</v>
      </c>
      <c r="BF147" s="180"/>
      <c r="BG147" s="98" t="s">
        <v>15</v>
      </c>
      <c r="BH147" s="132" t="s">
        <v>15</v>
      </c>
      <c r="BI147" s="104">
        <f>IF(ISBLANK($BG147),"-",(IF(BD147="-","-",BD147*(Lists!$K$10/100))))</f>
        <v>1511.25</v>
      </c>
      <c r="BJ147" s="104">
        <f>IF(ISBLANK($BH147),"-",(IF(BD147="-","-",BD147*(Lists!$K$11/100))))</f>
        <v>1007.5</v>
      </c>
      <c r="BK147" s="104" t="str">
        <f>IF(ISBLANK($BG147),"-",(IF(BE147="-","-",BE147*(Lists!$K$10/100))))</f>
        <v>-</v>
      </c>
      <c r="BL147" s="104" t="str">
        <f>IF(ISBLANK($BH147),"-",(IF(BE147="-","-",BE147*(Lists!$K$11/100))))</f>
        <v>-</v>
      </c>
      <c r="BM147" s="133"/>
      <c r="BN147" s="98" t="s">
        <v>15</v>
      </c>
      <c r="BO147" s="104" t="str">
        <f>IF(ISBLANK(BM147),"-",((Lists!$K$19/100)*(IF(BD147&lt;&gt;"-",BD147,BE147))))</f>
        <v>-</v>
      </c>
      <c r="BP147" s="104">
        <f>IF(ISBLANK(BN147),"-",((Lists!$K$20/100)*(IF(BD147&lt;&gt;"-",BD147,BE147))))</f>
        <v>503.75</v>
      </c>
    </row>
    <row r="148" spans="1:68" s="181" customFormat="1" x14ac:dyDescent="0.25">
      <c r="A148" s="130" t="s">
        <v>91</v>
      </c>
      <c r="B148" s="131"/>
      <c r="C148" s="308"/>
      <c r="D148" s="308"/>
      <c r="E148" s="308"/>
      <c r="F148" s="308"/>
      <c r="G148" s="97">
        <v>65</v>
      </c>
      <c r="H148" s="97" t="s">
        <v>295</v>
      </c>
      <c r="I148" s="128"/>
      <c r="J148" s="96" t="s">
        <v>411</v>
      </c>
      <c r="K148" s="356"/>
      <c r="L148" s="304"/>
      <c r="M148" s="306"/>
      <c r="N148" s="306"/>
      <c r="O148" s="306"/>
      <c r="P148" s="306"/>
      <c r="Q148" s="306"/>
      <c r="R148" s="306"/>
      <c r="S148" s="306"/>
      <c r="T148" s="306"/>
      <c r="U148" s="331"/>
      <c r="V148" s="100"/>
      <c r="W148" s="100"/>
      <c r="X148" s="100"/>
      <c r="Y148" s="100"/>
      <c r="Z148" s="100"/>
      <c r="AA148" s="100"/>
      <c r="AB148" s="100"/>
      <c r="AC148" s="100"/>
      <c r="AD148" s="100"/>
      <c r="AE148" s="100"/>
      <c r="AF148" s="100"/>
      <c r="AG148" s="100"/>
      <c r="AH148" s="100"/>
      <c r="AI148" s="100"/>
      <c r="AJ148" s="100" t="s">
        <v>299</v>
      </c>
      <c r="AK148" s="100"/>
      <c r="AL148" s="100"/>
      <c r="AM148" s="100"/>
      <c r="AN148" s="100"/>
      <c r="AO148" s="100"/>
      <c r="AP148" s="100"/>
      <c r="AQ148" s="100"/>
      <c r="AR148" s="100"/>
      <c r="AS148" s="100"/>
      <c r="AT148" s="100"/>
      <c r="AU148" s="100"/>
      <c r="AV148" s="100"/>
      <c r="AW148" s="100"/>
      <c r="AX148" s="100"/>
      <c r="AY148" s="100"/>
      <c r="AZ148" s="100"/>
      <c r="BA148" s="100"/>
      <c r="BB148" s="107"/>
      <c r="BC148" s="102">
        <f>IF((SUMPRODUCT(--(V148:AV148&lt;&gt;""))=0),"0",(VLOOKUP((MATCH("X",$V148:$AV148,0)), Lists!$E$13:$G$39,3)))</f>
        <v>36</v>
      </c>
      <c r="BD148" s="103">
        <f t="shared" si="4"/>
        <v>2340</v>
      </c>
      <c r="BE148" s="103" t="str">
        <f t="shared" si="5"/>
        <v>-</v>
      </c>
      <c r="BF148" s="180"/>
      <c r="BG148" s="98" t="s">
        <v>15</v>
      </c>
      <c r="BH148" s="132" t="s">
        <v>15</v>
      </c>
      <c r="BI148" s="104">
        <f>IF(ISBLANK($BG148),"-",(IF(BD148="-","-",BD148*(Lists!$K$10/100))))</f>
        <v>351</v>
      </c>
      <c r="BJ148" s="104">
        <f>IF(ISBLANK($BH148),"-",(IF(BD148="-","-",BD148*(Lists!$K$11/100))))</f>
        <v>234</v>
      </c>
      <c r="BK148" s="104" t="str">
        <f>IF(ISBLANK($BG148),"-",(IF(BE148="-","-",BE148*(Lists!$K$10/100))))</f>
        <v>-</v>
      </c>
      <c r="BL148" s="104" t="str">
        <f>IF(ISBLANK($BH148),"-",(IF(BE148="-","-",BE148*(Lists!$K$11/100))))</f>
        <v>-</v>
      </c>
      <c r="BM148" s="142"/>
      <c r="BN148" s="98" t="s">
        <v>15</v>
      </c>
      <c r="BO148" s="104" t="str">
        <f>IF(ISBLANK(BM148),"-",((Lists!$K$19/100)*(IF(BD148&lt;&gt;"-",BD148,BE148))))</f>
        <v>-</v>
      </c>
      <c r="BP148" s="104">
        <f>IF(ISBLANK(BN148),"-",((Lists!$K$20/100)*(IF(BD148&lt;&gt;"-",BD148,BE148))))</f>
        <v>117</v>
      </c>
    </row>
    <row r="149" spans="1:68" s="179" customFormat="1" ht="25.5" x14ac:dyDescent="0.25">
      <c r="A149" s="105" t="s">
        <v>91</v>
      </c>
      <c r="B149" s="128"/>
      <c r="C149" s="97" t="s">
        <v>176</v>
      </c>
      <c r="D149" s="97" t="s">
        <v>70</v>
      </c>
      <c r="E149" s="97">
        <v>138</v>
      </c>
      <c r="F149" s="97">
        <v>2.5</v>
      </c>
      <c r="G149" s="97">
        <f>E149*F149</f>
        <v>345</v>
      </c>
      <c r="H149" s="97"/>
      <c r="I149" s="128"/>
      <c r="J149" s="96" t="s">
        <v>412</v>
      </c>
      <c r="K149" s="96" t="s">
        <v>391</v>
      </c>
      <c r="L149" s="128"/>
      <c r="M149" s="129"/>
      <c r="N149" s="129" t="s">
        <v>15</v>
      </c>
      <c r="O149" s="129"/>
      <c r="P149" s="129"/>
      <c r="Q149" s="129"/>
      <c r="R149" s="129"/>
      <c r="S149" s="129"/>
      <c r="T149" s="129"/>
      <c r="U149" s="96" t="s">
        <v>457</v>
      </c>
      <c r="V149" s="100"/>
      <c r="W149" s="100"/>
      <c r="X149" s="100"/>
      <c r="Y149" s="100"/>
      <c r="Z149" s="100"/>
      <c r="AA149" s="100"/>
      <c r="AB149" s="100"/>
      <c r="AC149" s="100"/>
      <c r="AD149" s="100"/>
      <c r="AE149" s="100"/>
      <c r="AF149" s="100"/>
      <c r="AG149" s="100"/>
      <c r="AH149" s="100"/>
      <c r="AI149" s="100" t="s">
        <v>299</v>
      </c>
      <c r="AJ149" s="100"/>
      <c r="AK149" s="100"/>
      <c r="AL149" s="100"/>
      <c r="AM149" s="100"/>
      <c r="AN149" s="100"/>
      <c r="AO149" s="100"/>
      <c r="AP149" s="100"/>
      <c r="AQ149" s="100"/>
      <c r="AR149" s="100"/>
      <c r="AS149" s="100"/>
      <c r="AT149" s="100"/>
      <c r="AU149" s="100"/>
      <c r="AV149" s="100"/>
      <c r="AW149" s="100"/>
      <c r="AX149" s="100"/>
      <c r="AY149" s="100"/>
      <c r="AZ149" s="100"/>
      <c r="BA149" s="100"/>
      <c r="BB149" s="107"/>
      <c r="BC149" s="102">
        <f>IF((SUMPRODUCT(--(V149:AV149&lt;&gt;""))=0),"0",(VLOOKUP((MATCH("X",$V149:$AV149,0)), Lists!$E$13:$G$39,3)))</f>
        <v>65</v>
      </c>
      <c r="BD149" s="103">
        <f t="shared" si="4"/>
        <v>22425</v>
      </c>
      <c r="BE149" s="103" t="str">
        <f t="shared" si="5"/>
        <v>-</v>
      </c>
      <c r="BF149" s="128"/>
      <c r="BG149" s="98" t="s">
        <v>15</v>
      </c>
      <c r="BH149" s="98" t="s">
        <v>15</v>
      </c>
      <c r="BI149" s="104">
        <f>IF(ISBLANK($BG149),"-",(IF(BD149="-","-",BD149*(Lists!$K$10/100))))</f>
        <v>3363.75</v>
      </c>
      <c r="BJ149" s="104">
        <f>IF(ISBLANK($BH149),"-",(IF(BD149="-","-",BD149*(Lists!$K$11/100))))</f>
        <v>2242.5</v>
      </c>
      <c r="BK149" s="104" t="str">
        <f>IF(ISBLANK($BG149),"-",(IF(BE149="-","-",BE149*(Lists!$K$10/100))))</f>
        <v>-</v>
      </c>
      <c r="BL149" s="104" t="str">
        <f>IF(ISBLANK($BH149),"-",(IF(BE149="-","-",BE149*(Lists!$K$11/100))))</f>
        <v>-</v>
      </c>
      <c r="BM149" s="129"/>
      <c r="BN149" s="98" t="s">
        <v>15</v>
      </c>
      <c r="BO149" s="104" t="str">
        <f>IF(ISBLANK(BM149),"-",((Lists!$K$19/100)*(IF(BD149&lt;&gt;"-",BD149,BE149))))</f>
        <v>-</v>
      </c>
      <c r="BP149" s="104">
        <f>IF(ISBLANK(BN149),"-",((Lists!$K$20/100)*(IF(BD149&lt;&gt;"-",BD149,BE149))))</f>
        <v>1121.25</v>
      </c>
    </row>
    <row r="150" spans="1:68" s="181" customFormat="1" ht="42.75" customHeight="1" x14ac:dyDescent="0.25">
      <c r="A150" s="130" t="s">
        <v>91</v>
      </c>
      <c r="B150" s="130"/>
      <c r="C150" s="307" t="s">
        <v>70</v>
      </c>
      <c r="D150" s="307" t="s">
        <v>71</v>
      </c>
      <c r="E150" s="307">
        <v>122</v>
      </c>
      <c r="F150" s="307" t="s">
        <v>110</v>
      </c>
      <c r="G150" s="97">
        <v>122</v>
      </c>
      <c r="H150" s="97" t="s">
        <v>295</v>
      </c>
      <c r="I150" s="128"/>
      <c r="J150" s="128" t="s">
        <v>414</v>
      </c>
      <c r="K150" s="302" t="s">
        <v>346</v>
      </c>
      <c r="L150" s="302"/>
      <c r="M150" s="305" t="s">
        <v>15</v>
      </c>
      <c r="N150" s="305"/>
      <c r="O150" s="305"/>
      <c r="P150" s="305"/>
      <c r="Q150" s="305"/>
      <c r="R150" s="305"/>
      <c r="S150" s="305"/>
      <c r="T150" s="305"/>
      <c r="U150" s="314" t="s">
        <v>177</v>
      </c>
      <c r="V150" s="100"/>
      <c r="W150" s="100"/>
      <c r="X150" s="100"/>
      <c r="Y150" s="100"/>
      <c r="Z150" s="100"/>
      <c r="AA150" s="100"/>
      <c r="AB150" s="100"/>
      <c r="AC150" s="100"/>
      <c r="AD150" s="100"/>
      <c r="AE150" s="100"/>
      <c r="AF150" s="100"/>
      <c r="AG150" s="100"/>
      <c r="AH150" s="100"/>
      <c r="AI150" s="100"/>
      <c r="AJ150" s="100"/>
      <c r="AK150" s="100"/>
      <c r="AL150" s="100"/>
      <c r="AM150" s="100"/>
      <c r="AN150" s="100"/>
      <c r="AO150" s="100"/>
      <c r="AP150" s="100"/>
      <c r="AQ150" s="100" t="s">
        <v>299</v>
      </c>
      <c r="AR150" s="100"/>
      <c r="AS150" s="100"/>
      <c r="AT150" s="100"/>
      <c r="AU150" s="100"/>
      <c r="AV150" s="100"/>
      <c r="AW150" s="100"/>
      <c r="AX150" s="100"/>
      <c r="AY150" s="100"/>
      <c r="AZ150" s="100"/>
      <c r="BA150" s="100"/>
      <c r="BB150" s="107"/>
      <c r="BC150" s="102">
        <f>IF((SUMPRODUCT(--(V150:AV150&lt;&gt;""))=0),"0",(VLOOKUP((MATCH("X",$V150:$AV150,0)), Lists!$E$13:$G$39,3)))</f>
        <v>1525</v>
      </c>
      <c r="BD150" s="103">
        <f t="shared" si="4"/>
        <v>186050</v>
      </c>
      <c r="BE150" s="103" t="str">
        <f t="shared" si="5"/>
        <v>-</v>
      </c>
      <c r="BF150" s="180"/>
      <c r="BG150" s="98" t="s">
        <v>15</v>
      </c>
      <c r="BH150" s="98" t="s">
        <v>15</v>
      </c>
      <c r="BI150" s="104">
        <f>IF(ISBLANK($BG150),"-",(IF(BD150="-","-",BD150*(Lists!$K$10/100))))</f>
        <v>27907.5</v>
      </c>
      <c r="BJ150" s="104">
        <f>IF(ISBLANK($BH150),"-",(IF(BD150="-","-",BD150*(Lists!$K$11/100))))</f>
        <v>18605</v>
      </c>
      <c r="BK150" s="104" t="str">
        <f>IF(ISBLANK($BG150),"-",(IF(BE150="-","-",BE150*(Lists!$K$10/100))))</f>
        <v>-</v>
      </c>
      <c r="BL150" s="104" t="str">
        <f>IF(ISBLANK($BH150),"-",(IF(BE150="-","-",BE150*(Lists!$K$11/100))))</f>
        <v>-</v>
      </c>
      <c r="BM150" s="133"/>
      <c r="BN150" s="98" t="s">
        <v>15</v>
      </c>
      <c r="BO150" s="104" t="str">
        <f>IF(ISBLANK(BM150),"-",((Lists!$K$19/100)*(IF(BD150&lt;&gt;"-",BD150,BE150))))</f>
        <v>-</v>
      </c>
      <c r="BP150" s="104">
        <f>IF(ISBLANK(BN150),"-",((Lists!$K$20/100)*(IF(BD150&lt;&gt;"-",BD150,BE150))))</f>
        <v>9302.5</v>
      </c>
    </row>
    <row r="151" spans="1:68" s="181" customFormat="1" ht="42.75" customHeight="1" x14ac:dyDescent="0.25">
      <c r="A151" s="130" t="s">
        <v>91</v>
      </c>
      <c r="B151" s="131"/>
      <c r="C151" s="308"/>
      <c r="D151" s="308"/>
      <c r="E151" s="308"/>
      <c r="F151" s="308"/>
      <c r="G151" s="97">
        <v>244</v>
      </c>
      <c r="H151" s="97" t="s">
        <v>295</v>
      </c>
      <c r="I151" s="128"/>
      <c r="J151" s="96" t="s">
        <v>413</v>
      </c>
      <c r="K151" s="356"/>
      <c r="L151" s="304"/>
      <c r="M151" s="306"/>
      <c r="N151" s="306"/>
      <c r="O151" s="306"/>
      <c r="P151" s="306"/>
      <c r="Q151" s="306"/>
      <c r="R151" s="306"/>
      <c r="S151" s="306"/>
      <c r="T151" s="306"/>
      <c r="U151" s="304"/>
      <c r="V151" s="100"/>
      <c r="W151" s="100"/>
      <c r="X151" s="100"/>
      <c r="Y151" s="100"/>
      <c r="Z151" s="100"/>
      <c r="AA151" s="100"/>
      <c r="AB151" s="100"/>
      <c r="AC151" s="100"/>
      <c r="AD151" s="100"/>
      <c r="AE151" s="100"/>
      <c r="AF151" s="100"/>
      <c r="AG151" s="100"/>
      <c r="AH151" s="100"/>
      <c r="AI151" s="100"/>
      <c r="AJ151" s="100" t="s">
        <v>299</v>
      </c>
      <c r="AK151" s="100"/>
      <c r="AL151" s="100"/>
      <c r="AM151" s="100"/>
      <c r="AN151" s="100"/>
      <c r="AO151" s="100"/>
      <c r="AP151" s="100"/>
      <c r="AQ151" s="100"/>
      <c r="AR151" s="100"/>
      <c r="AS151" s="100"/>
      <c r="AT151" s="100"/>
      <c r="AU151" s="100"/>
      <c r="AV151" s="100"/>
      <c r="AW151" s="100"/>
      <c r="AX151" s="100"/>
      <c r="AY151" s="100"/>
      <c r="AZ151" s="100"/>
      <c r="BA151" s="100"/>
      <c r="BB151" s="107"/>
      <c r="BC151" s="102">
        <f>IF((SUMPRODUCT(--(V151:AV151&lt;&gt;""))=0),"0",(VLOOKUP((MATCH("X",$V151:$AV151,0)), Lists!$E$13:$G$39,3)))</f>
        <v>36</v>
      </c>
      <c r="BD151" s="103">
        <f t="shared" si="4"/>
        <v>8784</v>
      </c>
      <c r="BE151" s="103" t="str">
        <f t="shared" si="5"/>
        <v>-</v>
      </c>
      <c r="BF151" s="180"/>
      <c r="BG151" s="98" t="s">
        <v>15</v>
      </c>
      <c r="BH151" s="98" t="s">
        <v>15</v>
      </c>
      <c r="BI151" s="104">
        <f>IF(ISBLANK($BG151),"-",(IF(BD151="-","-",BD151*(Lists!$K$10/100))))</f>
        <v>1317.6</v>
      </c>
      <c r="BJ151" s="104">
        <f>IF(ISBLANK($BH151),"-",(IF(BD151="-","-",BD151*(Lists!$K$11/100))))</f>
        <v>878.40000000000009</v>
      </c>
      <c r="BK151" s="104" t="str">
        <f>IF(ISBLANK($BG151),"-",(IF(BE151="-","-",BE151*(Lists!$K$10/100))))</f>
        <v>-</v>
      </c>
      <c r="BL151" s="104" t="str">
        <f>IF(ISBLANK($BH151),"-",(IF(BE151="-","-",BE151*(Lists!$K$11/100))))</f>
        <v>-</v>
      </c>
      <c r="BM151" s="142"/>
      <c r="BN151" s="98" t="s">
        <v>15</v>
      </c>
      <c r="BO151" s="104" t="str">
        <f>IF(ISBLANK(BM151),"-",((Lists!$K$19/100)*(IF(BD151&lt;&gt;"-",BD151,BE151))))</f>
        <v>-</v>
      </c>
      <c r="BP151" s="104">
        <f>IF(ISBLANK(BN151),"-",((Lists!$K$20/100)*(IF(BD151&lt;&gt;"-",BD151,BE151))))</f>
        <v>439.20000000000005</v>
      </c>
    </row>
    <row r="152" spans="1:68" s="181" customFormat="1" x14ac:dyDescent="0.25">
      <c r="A152" s="130" t="s">
        <v>91</v>
      </c>
      <c r="B152" s="130"/>
      <c r="C152" s="307" t="s">
        <v>71</v>
      </c>
      <c r="D152" s="307" t="s">
        <v>103</v>
      </c>
      <c r="E152" s="307">
        <v>678</v>
      </c>
      <c r="F152" s="307" t="s">
        <v>110</v>
      </c>
      <c r="G152" s="97">
        <v>678</v>
      </c>
      <c r="H152" s="97" t="s">
        <v>295</v>
      </c>
      <c r="I152" s="128"/>
      <c r="J152" s="96" t="s">
        <v>416</v>
      </c>
      <c r="K152" s="302" t="s">
        <v>347</v>
      </c>
      <c r="L152" s="302"/>
      <c r="M152" s="305"/>
      <c r="N152" s="305"/>
      <c r="O152" s="305"/>
      <c r="P152" s="305"/>
      <c r="Q152" s="305"/>
      <c r="R152" s="305"/>
      <c r="S152" s="305"/>
      <c r="T152" s="305"/>
      <c r="U152" s="314" t="s">
        <v>415</v>
      </c>
      <c r="V152" s="100"/>
      <c r="W152" s="100"/>
      <c r="X152" s="100"/>
      <c r="Y152" s="100"/>
      <c r="Z152" s="100"/>
      <c r="AA152" s="100" t="s">
        <v>299</v>
      </c>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c r="AY152" s="100"/>
      <c r="AZ152" s="100"/>
      <c r="BA152" s="100"/>
      <c r="BB152" s="107"/>
      <c r="BC152" s="102">
        <f>IF((SUMPRODUCT(--(V152:AV152&lt;&gt;""))=0),"0",(VLOOKUP((MATCH("X",$V152:$AV152,0)), Lists!$E$13:$G$39,3)))</f>
        <v>155</v>
      </c>
      <c r="BD152" s="103">
        <f t="shared" si="4"/>
        <v>105090</v>
      </c>
      <c r="BE152" s="103" t="str">
        <f t="shared" si="5"/>
        <v>-</v>
      </c>
      <c r="BF152" s="180"/>
      <c r="BG152" s="98" t="s">
        <v>15</v>
      </c>
      <c r="BH152" s="98" t="s">
        <v>15</v>
      </c>
      <c r="BI152" s="104">
        <f>IF(ISBLANK($BG152),"-",(IF(BD152="-","-",BD152*(Lists!$K$10/100))))</f>
        <v>15763.5</v>
      </c>
      <c r="BJ152" s="104">
        <f>IF(ISBLANK($BH152),"-",(IF(BD152="-","-",BD152*(Lists!$K$11/100))))</f>
        <v>10509</v>
      </c>
      <c r="BK152" s="104" t="str">
        <f>IF(ISBLANK($BG152),"-",(IF(BE152="-","-",BE152*(Lists!$K$10/100))))</f>
        <v>-</v>
      </c>
      <c r="BL152" s="104" t="str">
        <f>IF(ISBLANK($BH152),"-",(IF(BE152="-","-",BE152*(Lists!$K$11/100))))</f>
        <v>-</v>
      </c>
      <c r="BM152" s="133"/>
      <c r="BN152" s="98" t="s">
        <v>15</v>
      </c>
      <c r="BO152" s="104" t="str">
        <f>IF(ISBLANK(BM152),"-",((Lists!$K$19/100)*(IF(BD152&lt;&gt;"-",BD152,BE152))))</f>
        <v>-</v>
      </c>
      <c r="BP152" s="104">
        <f>IF(ISBLANK(BN152),"-",((Lists!$K$20/100)*(IF(BD152&lt;&gt;"-",BD152,BE152))))</f>
        <v>5254.5</v>
      </c>
    </row>
    <row r="153" spans="1:68" s="181" customFormat="1" ht="38.25" x14ac:dyDescent="0.25">
      <c r="A153" s="130" t="s">
        <v>91</v>
      </c>
      <c r="B153" s="131"/>
      <c r="C153" s="308"/>
      <c r="D153" s="308"/>
      <c r="E153" s="308"/>
      <c r="F153" s="308"/>
      <c r="G153" s="97">
        <v>678</v>
      </c>
      <c r="H153" s="97" t="s">
        <v>295</v>
      </c>
      <c r="I153" s="128"/>
      <c r="J153" s="96" t="s">
        <v>417</v>
      </c>
      <c r="K153" s="356"/>
      <c r="L153" s="304"/>
      <c r="M153" s="306"/>
      <c r="N153" s="306"/>
      <c r="O153" s="306"/>
      <c r="P153" s="306"/>
      <c r="Q153" s="306"/>
      <c r="R153" s="306"/>
      <c r="S153" s="306"/>
      <c r="T153" s="306"/>
      <c r="U153" s="304"/>
      <c r="V153" s="100"/>
      <c r="W153" s="100"/>
      <c r="X153" s="100"/>
      <c r="Y153" s="100"/>
      <c r="Z153" s="100"/>
      <c r="AA153" s="100"/>
      <c r="AB153" s="100"/>
      <c r="AC153" s="100"/>
      <c r="AD153" s="100"/>
      <c r="AE153" s="100"/>
      <c r="AF153" s="100"/>
      <c r="AG153" s="100"/>
      <c r="AH153" s="100" t="s">
        <v>299</v>
      </c>
      <c r="AI153" s="100"/>
      <c r="AJ153" s="100"/>
      <c r="AK153" s="100"/>
      <c r="AL153" s="100"/>
      <c r="AM153" s="100"/>
      <c r="AN153" s="100"/>
      <c r="AO153" s="100"/>
      <c r="AP153" s="100"/>
      <c r="AQ153" s="100"/>
      <c r="AR153" s="100"/>
      <c r="AS153" s="100"/>
      <c r="AT153" s="100"/>
      <c r="AU153" s="100"/>
      <c r="AV153" s="100"/>
      <c r="AW153" s="100"/>
      <c r="AX153" s="100"/>
      <c r="AY153" s="100"/>
      <c r="AZ153" s="100"/>
      <c r="BA153" s="100"/>
      <c r="BB153" s="107"/>
      <c r="BC153" s="102">
        <f>IF((SUMPRODUCT(--(V153:AV153&lt;&gt;""))=0),"0",(VLOOKUP((MATCH("X",$V153:$AV153,0)), Lists!$E$13:$G$39,3)))</f>
        <v>40</v>
      </c>
      <c r="BD153" s="103">
        <f t="shared" si="4"/>
        <v>27120</v>
      </c>
      <c r="BE153" s="103" t="str">
        <f t="shared" si="5"/>
        <v>-</v>
      </c>
      <c r="BF153" s="180"/>
      <c r="BG153" s="98" t="s">
        <v>15</v>
      </c>
      <c r="BH153" s="98" t="s">
        <v>15</v>
      </c>
      <c r="BI153" s="104">
        <f>IF(ISBLANK($BG153),"-",(IF(BD153="-","-",BD153*(Lists!$K$10/100))))</f>
        <v>4068</v>
      </c>
      <c r="BJ153" s="104">
        <f>IF(ISBLANK($BH153),"-",(IF(BD153="-","-",BD153*(Lists!$K$11/100))))</f>
        <v>2712</v>
      </c>
      <c r="BK153" s="104" t="str">
        <f>IF(ISBLANK($BG153),"-",(IF(BE153="-","-",BE153*(Lists!$K$10/100))))</f>
        <v>-</v>
      </c>
      <c r="BL153" s="104" t="str">
        <f>IF(ISBLANK($BH153),"-",(IF(BE153="-","-",BE153*(Lists!$K$11/100))))</f>
        <v>-</v>
      </c>
      <c r="BM153" s="142"/>
      <c r="BN153" s="98" t="s">
        <v>15</v>
      </c>
      <c r="BO153" s="104" t="str">
        <f>IF(ISBLANK(BM153),"-",((Lists!$K$19/100)*(IF(BD153&lt;&gt;"-",BD153,BE153))))</f>
        <v>-</v>
      </c>
      <c r="BP153" s="104">
        <f>IF(ISBLANK(BN153),"-",((Lists!$K$20/100)*(IF(BD153&lt;&gt;"-",BD153,BE153))))</f>
        <v>1356</v>
      </c>
    </row>
    <row r="154" spans="1:68" s="181" customFormat="1" ht="35.25" customHeight="1" x14ac:dyDescent="0.25">
      <c r="A154" s="105" t="s">
        <v>91</v>
      </c>
      <c r="B154" s="128"/>
      <c r="C154" s="97" t="s">
        <v>178</v>
      </c>
      <c r="D154" s="97"/>
      <c r="E154" s="97" t="s">
        <v>110</v>
      </c>
      <c r="F154" s="97" t="s">
        <v>110</v>
      </c>
      <c r="G154" s="97">
        <v>1</v>
      </c>
      <c r="H154" s="97" t="s">
        <v>294</v>
      </c>
      <c r="I154" s="128"/>
      <c r="J154" s="96" t="s">
        <v>418</v>
      </c>
      <c r="K154" s="128" t="s">
        <v>348</v>
      </c>
      <c r="L154" s="128"/>
      <c r="M154" s="129" t="s">
        <v>15</v>
      </c>
      <c r="N154" s="129"/>
      <c r="O154" s="129"/>
      <c r="P154" s="129"/>
      <c r="Q154" s="129"/>
      <c r="R154" s="129"/>
      <c r="S154" s="129"/>
      <c r="T154" s="129"/>
      <c r="U154" s="96" t="s">
        <v>483</v>
      </c>
      <c r="V154" s="100"/>
      <c r="W154" s="100"/>
      <c r="X154" s="100"/>
      <c r="Y154" s="100"/>
      <c r="Z154" s="100"/>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t="s">
        <v>299</v>
      </c>
      <c r="BB154" s="107">
        <v>5500</v>
      </c>
      <c r="BC154" s="102" t="str">
        <f>IF((SUMPRODUCT(--(V154:AV154&lt;&gt;""))=0),"0",(VLOOKUP((MATCH("X",$V154:$AV154,0)), Lists!$E$13:$G$39,3)))</f>
        <v>0</v>
      </c>
      <c r="BD154" s="103" t="str">
        <f t="shared" si="4"/>
        <v>-</v>
      </c>
      <c r="BE154" s="103">
        <f t="shared" si="5"/>
        <v>5500</v>
      </c>
      <c r="BF154" s="128" t="s">
        <v>670</v>
      </c>
      <c r="BG154" s="98" t="s">
        <v>15</v>
      </c>
      <c r="BH154" s="132" t="s">
        <v>15</v>
      </c>
      <c r="BI154" s="104" t="str">
        <f>IF(ISBLANK($BG154),"-",(IF(BD154="-","-",BD154*(Lists!$K$10/100))))</f>
        <v>-</v>
      </c>
      <c r="BJ154" s="104" t="str">
        <f>IF(ISBLANK($BH154),"-",(IF(BD154="-","-",BD154*(Lists!$K$11/100))))</f>
        <v>-</v>
      </c>
      <c r="BK154" s="104">
        <f>IF(ISBLANK($BG154),"-",(IF(BE154="-","-",BE154*(Lists!$K$10/100))))</f>
        <v>825</v>
      </c>
      <c r="BL154" s="104">
        <f>IF(ISBLANK($BH154),"-",(IF(BE154="-","-",BE154*(Lists!$K$11/100))))</f>
        <v>550</v>
      </c>
      <c r="BM154" s="129"/>
      <c r="BN154" s="98" t="s">
        <v>15</v>
      </c>
      <c r="BO154" s="104" t="str">
        <f>IF(ISBLANK(BM154),"-",((Lists!$K$19/100)*(IF(BD154&lt;&gt;"-",BD154,BE154))))</f>
        <v>-</v>
      </c>
      <c r="BP154" s="104">
        <f>IF(ISBLANK(BN154),"-",((Lists!$K$20/100)*(IF(BD154&lt;&gt;"-",BD154,BE154))))</f>
        <v>275</v>
      </c>
    </row>
    <row r="155" spans="1:68" ht="51" customHeight="1" x14ac:dyDescent="0.25">
      <c r="A155" s="130" t="s">
        <v>91</v>
      </c>
      <c r="B155" s="149"/>
      <c r="C155" s="307" t="s">
        <v>72</v>
      </c>
      <c r="D155" s="307" t="s">
        <v>80</v>
      </c>
      <c r="E155" s="307">
        <v>385</v>
      </c>
      <c r="F155" s="97" t="s">
        <v>110</v>
      </c>
      <c r="G155" s="97">
        <v>385</v>
      </c>
      <c r="H155" s="97" t="s">
        <v>295</v>
      </c>
      <c r="I155" s="128"/>
      <c r="J155" s="96" t="s">
        <v>419</v>
      </c>
      <c r="K155" s="307" t="s">
        <v>349</v>
      </c>
      <c r="L155" s="368"/>
      <c r="M155" s="320" t="s">
        <v>15</v>
      </c>
      <c r="N155" s="321"/>
      <c r="O155" s="321"/>
      <c r="P155" s="321"/>
      <c r="Q155" s="321"/>
      <c r="R155" s="321"/>
      <c r="S155" s="321"/>
      <c r="T155" s="321"/>
      <c r="U155" s="330" t="s">
        <v>711</v>
      </c>
      <c r="V155" s="100"/>
      <c r="W155" s="100"/>
      <c r="X155" s="100"/>
      <c r="Y155" s="100"/>
      <c r="Z155" s="100"/>
      <c r="AA155" s="100"/>
      <c r="AB155" s="100"/>
      <c r="AC155" s="100"/>
      <c r="AD155" s="100"/>
      <c r="AE155" s="100"/>
      <c r="AF155" s="100"/>
      <c r="AG155" s="100"/>
      <c r="AH155" s="100"/>
      <c r="AI155" s="100"/>
      <c r="AJ155" s="100"/>
      <c r="AK155" s="100"/>
      <c r="AL155" s="100"/>
      <c r="AM155" s="100"/>
      <c r="AN155" s="100"/>
      <c r="AO155" s="100"/>
      <c r="AP155" s="100"/>
      <c r="AQ155" s="100" t="s">
        <v>299</v>
      </c>
      <c r="AR155" s="100"/>
      <c r="AS155" s="100"/>
      <c r="AT155" s="100"/>
      <c r="AU155" s="100"/>
      <c r="AV155" s="100"/>
      <c r="AW155" s="100"/>
      <c r="AX155" s="100"/>
      <c r="AY155" s="100"/>
      <c r="AZ155" s="100"/>
      <c r="BA155" s="100"/>
      <c r="BB155" s="107"/>
      <c r="BC155" s="102">
        <f>IF((SUMPRODUCT(--(V155:AV155&lt;&gt;""))=0),"0",(VLOOKUP((MATCH("X",$V155:$AV155,0)), Lists!$E$13:$G$39,3)))</f>
        <v>1525</v>
      </c>
      <c r="BD155" s="103">
        <f t="shared" si="4"/>
        <v>587125</v>
      </c>
      <c r="BE155" s="103" t="str">
        <f t="shared" si="5"/>
        <v>-</v>
      </c>
      <c r="BF155" s="82"/>
      <c r="BG155" s="98" t="s">
        <v>15</v>
      </c>
      <c r="BH155" s="132" t="s">
        <v>15</v>
      </c>
      <c r="BI155" s="104">
        <f>IF(ISBLANK($BG155),"-",(IF(BD155="-","-",BD155*(Lists!$K$10/100))))</f>
        <v>88068.75</v>
      </c>
      <c r="BJ155" s="104">
        <f>IF(ISBLANK($BH155),"-",(IF(BD155="-","-",BD155*(Lists!$K$11/100))))</f>
        <v>58712.5</v>
      </c>
      <c r="BK155" s="104" t="str">
        <f>IF(ISBLANK($BG155),"-",(IF(BE155="-","-",BE155*(Lists!$K$10/100))))</f>
        <v>-</v>
      </c>
      <c r="BL155" s="104" t="str">
        <f>IF(ISBLANK($BH155),"-",(IF(BE155="-","-",BE155*(Lists!$K$11/100))))</f>
        <v>-</v>
      </c>
      <c r="BM155" s="151"/>
      <c r="BN155" s="98" t="s">
        <v>15</v>
      </c>
      <c r="BO155" s="104" t="str">
        <f>IF(ISBLANK(BM155),"-",((Lists!$K$19/100)*(IF(BD155&lt;&gt;"-",BD155,BE155))))</f>
        <v>-</v>
      </c>
      <c r="BP155" s="104">
        <f>IF(ISBLANK(BN155),"-",((Lists!$K$20/100)*(IF(BD155&lt;&gt;"-",BD155,BE155))))</f>
        <v>29356.25</v>
      </c>
    </row>
    <row r="156" spans="1:68" x14ac:dyDescent="0.25">
      <c r="A156" s="130" t="s">
        <v>91</v>
      </c>
      <c r="B156" s="131"/>
      <c r="C156" s="308"/>
      <c r="D156" s="308"/>
      <c r="E156" s="308"/>
      <c r="F156" s="97" t="s">
        <v>110</v>
      </c>
      <c r="G156" s="97">
        <v>385</v>
      </c>
      <c r="H156" s="97" t="s">
        <v>295</v>
      </c>
      <c r="I156" s="128"/>
      <c r="J156" s="96" t="s">
        <v>651</v>
      </c>
      <c r="K156" s="308"/>
      <c r="L156" s="369"/>
      <c r="M156" s="327"/>
      <c r="N156" s="327"/>
      <c r="O156" s="327"/>
      <c r="P156" s="327"/>
      <c r="Q156" s="327"/>
      <c r="R156" s="327"/>
      <c r="S156" s="327"/>
      <c r="T156" s="327"/>
      <c r="U156" s="331"/>
      <c r="V156" s="100"/>
      <c r="W156" s="100"/>
      <c r="X156" s="100"/>
      <c r="Y156" s="100"/>
      <c r="Z156" s="100"/>
      <c r="AA156" s="100"/>
      <c r="AB156" s="100"/>
      <c r="AC156" s="100"/>
      <c r="AD156" s="100"/>
      <c r="AE156" s="100"/>
      <c r="AF156" s="100"/>
      <c r="AG156" s="100"/>
      <c r="AH156" s="100"/>
      <c r="AI156" s="100"/>
      <c r="AJ156" s="100" t="s">
        <v>299</v>
      </c>
      <c r="AK156" s="100"/>
      <c r="AL156" s="100"/>
      <c r="AM156" s="100"/>
      <c r="AN156" s="100"/>
      <c r="AO156" s="100"/>
      <c r="AP156" s="100"/>
      <c r="AQ156" s="100"/>
      <c r="AR156" s="100"/>
      <c r="AS156" s="100"/>
      <c r="AT156" s="100"/>
      <c r="AU156" s="100"/>
      <c r="AV156" s="100"/>
      <c r="AW156" s="100"/>
      <c r="AX156" s="100"/>
      <c r="AY156" s="100"/>
      <c r="AZ156" s="100"/>
      <c r="BA156" s="100"/>
      <c r="BB156" s="107"/>
      <c r="BC156" s="102">
        <f>IF((SUMPRODUCT(--(V156:AV156&lt;&gt;""))=0),"0",(VLOOKUP((MATCH("X",$V156:$AV156,0)), Lists!$E$13:$G$39,3)))</f>
        <v>36</v>
      </c>
      <c r="BD156" s="103">
        <f t="shared" si="4"/>
        <v>13860</v>
      </c>
      <c r="BE156" s="103" t="str">
        <f t="shared" si="5"/>
        <v>-</v>
      </c>
      <c r="BF156" s="82"/>
      <c r="BG156" s="98" t="s">
        <v>15</v>
      </c>
      <c r="BH156" s="132" t="s">
        <v>15</v>
      </c>
      <c r="BI156" s="104">
        <f>IF(ISBLANK($BG156),"-",(IF(BD156="-","-",BD156*(Lists!$K$10/100))))</f>
        <v>2079</v>
      </c>
      <c r="BJ156" s="104">
        <f>IF(ISBLANK($BH156),"-",(IF(BD156="-","-",BD156*(Lists!$K$11/100))))</f>
        <v>1386</v>
      </c>
      <c r="BK156" s="104" t="str">
        <f>IF(ISBLANK($BG156),"-",(IF(BE156="-","-",BE156*(Lists!$K$10/100))))</f>
        <v>-</v>
      </c>
      <c r="BL156" s="104" t="str">
        <f>IF(ISBLANK($BH156),"-",(IF(BE156="-","-",BE156*(Lists!$K$11/100))))</f>
        <v>-</v>
      </c>
      <c r="BM156" s="142"/>
      <c r="BN156" s="98" t="s">
        <v>15</v>
      </c>
      <c r="BO156" s="104" t="str">
        <f>IF(ISBLANK(BM156),"-",((Lists!$K$19/100)*(IF(BD156&lt;&gt;"-",BD156,BE156))))</f>
        <v>-</v>
      </c>
      <c r="BP156" s="104">
        <f>IF(ISBLANK(BN156),"-",((Lists!$K$20/100)*(IF(BD156&lt;&gt;"-",BD156,BE156))))</f>
        <v>693</v>
      </c>
    </row>
    <row r="157" spans="1:68" s="181" customFormat="1" ht="34.5" customHeight="1" x14ac:dyDescent="0.25">
      <c r="A157" s="130" t="s">
        <v>91</v>
      </c>
      <c r="B157" s="130"/>
      <c r="C157" s="309" t="s">
        <v>72</v>
      </c>
      <c r="D157" s="309" t="s">
        <v>73</v>
      </c>
      <c r="E157" s="97">
        <v>330</v>
      </c>
      <c r="F157" s="97" t="s">
        <v>110</v>
      </c>
      <c r="G157" s="97">
        <v>330</v>
      </c>
      <c r="H157" s="97" t="s">
        <v>295</v>
      </c>
      <c r="I157" s="128"/>
      <c r="J157" s="96" t="s">
        <v>691</v>
      </c>
      <c r="K157" s="302" t="s">
        <v>335</v>
      </c>
      <c r="L157" s="354"/>
      <c r="M157" s="305" t="s">
        <v>15</v>
      </c>
      <c r="N157" s="305"/>
      <c r="O157" s="305"/>
      <c r="P157" s="305"/>
      <c r="Q157" s="305" t="s">
        <v>15</v>
      </c>
      <c r="R157" s="305"/>
      <c r="S157" s="305"/>
      <c r="T157" s="305"/>
      <c r="U157" s="314" t="s">
        <v>420</v>
      </c>
      <c r="V157" s="100"/>
      <c r="W157" s="100"/>
      <c r="X157" s="100"/>
      <c r="Y157" s="100"/>
      <c r="Z157" s="100"/>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t="s">
        <v>299</v>
      </c>
      <c r="AW157" s="100"/>
      <c r="AX157" s="100"/>
      <c r="AY157" s="100"/>
      <c r="AZ157" s="100"/>
      <c r="BA157" s="100"/>
      <c r="BB157" s="107"/>
      <c r="BC157" s="102">
        <f>IF((SUMPRODUCT(--(V157:AV157&lt;&gt;""))=0),"0",(VLOOKUP((MATCH("X",$V157:$AV157,0)), Lists!$E$13:$G$39,3)))</f>
        <v>240</v>
      </c>
      <c r="BD157" s="103">
        <f t="shared" si="4"/>
        <v>79200</v>
      </c>
      <c r="BE157" s="103" t="str">
        <f t="shared" si="5"/>
        <v>-</v>
      </c>
      <c r="BF157" s="180"/>
      <c r="BG157" s="98" t="s">
        <v>15</v>
      </c>
      <c r="BH157" s="132" t="s">
        <v>15</v>
      </c>
      <c r="BI157" s="104">
        <f>IF(ISBLANK($BG157),"-",(IF(BD157="-","-",BD157*(Lists!$K$10/100))))</f>
        <v>11880</v>
      </c>
      <c r="BJ157" s="104">
        <f>IF(ISBLANK($BH157),"-",(IF(BD157="-","-",BD157*(Lists!$K$11/100))))</f>
        <v>7920</v>
      </c>
      <c r="BK157" s="104" t="str">
        <f>IF(ISBLANK($BG157),"-",(IF(BE157="-","-",BE157*(Lists!$K$10/100))))</f>
        <v>-</v>
      </c>
      <c r="BL157" s="104" t="str">
        <f>IF(ISBLANK($BH157),"-",(IF(BE157="-","-",BE157*(Lists!$K$11/100))))</f>
        <v>-</v>
      </c>
      <c r="BM157" s="133"/>
      <c r="BN157" s="98" t="s">
        <v>15</v>
      </c>
      <c r="BO157" s="104" t="str">
        <f>IF(ISBLANK(BM157),"-",((Lists!$K$19/100)*(IF(BD157&lt;&gt;"-",BD157,BE157))))</f>
        <v>-</v>
      </c>
      <c r="BP157" s="104">
        <f>IF(ISBLANK(BN157),"-",((Lists!$K$20/100)*(IF(BD157&lt;&gt;"-",BD157,BE157))))</f>
        <v>3960</v>
      </c>
    </row>
    <row r="158" spans="1:68" ht="34.5" customHeight="1" x14ac:dyDescent="0.25">
      <c r="A158" s="130" t="s">
        <v>91</v>
      </c>
      <c r="B158" s="149"/>
      <c r="C158" s="309"/>
      <c r="D158" s="309"/>
      <c r="E158" s="97">
        <v>230</v>
      </c>
      <c r="F158" s="97" t="s">
        <v>110</v>
      </c>
      <c r="G158" s="97">
        <v>230</v>
      </c>
      <c r="H158" s="97" t="s">
        <v>295</v>
      </c>
      <c r="I158" s="128"/>
      <c r="J158" s="96" t="s">
        <v>696</v>
      </c>
      <c r="K158" s="303"/>
      <c r="L158" s="357"/>
      <c r="M158" s="329"/>
      <c r="N158" s="329"/>
      <c r="O158" s="329"/>
      <c r="P158" s="329"/>
      <c r="Q158" s="329"/>
      <c r="R158" s="329"/>
      <c r="S158" s="329"/>
      <c r="T158" s="329"/>
      <c r="U158" s="357"/>
      <c r="V158" s="100"/>
      <c r="W158" s="100"/>
      <c r="X158" s="100"/>
      <c r="Y158" s="100"/>
      <c r="Z158" s="100"/>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00" t="s">
        <v>299</v>
      </c>
      <c r="AW158" s="100"/>
      <c r="AX158" s="100"/>
      <c r="AY158" s="100"/>
      <c r="AZ158" s="100"/>
      <c r="BA158" s="100"/>
      <c r="BB158" s="107"/>
      <c r="BC158" s="102">
        <f>IF((SUMPRODUCT(--(V158:AV158&lt;&gt;""))=0),"0",(VLOOKUP((MATCH("X",$V158:$AV158,0)), Lists!$E$13:$G$39,3)))</f>
        <v>240</v>
      </c>
      <c r="BD158" s="103">
        <f t="shared" si="4"/>
        <v>55200</v>
      </c>
      <c r="BE158" s="103" t="str">
        <f t="shared" si="5"/>
        <v>-</v>
      </c>
      <c r="BF158" s="82"/>
      <c r="BG158" s="98" t="s">
        <v>15</v>
      </c>
      <c r="BH158" s="132" t="s">
        <v>15</v>
      </c>
      <c r="BI158" s="104">
        <f>IF(ISBLANK($BG158),"-",(IF(BD158="-","-",BD158*(Lists!$K$10/100))))</f>
        <v>8280</v>
      </c>
      <c r="BJ158" s="104">
        <f>IF(ISBLANK($BH158),"-",(IF(BD158="-","-",BD158*(Lists!$K$11/100))))</f>
        <v>5520</v>
      </c>
      <c r="BK158" s="104" t="str">
        <f>IF(ISBLANK($BG158),"-",(IF(BE158="-","-",BE158*(Lists!$K$10/100))))</f>
        <v>-</v>
      </c>
      <c r="BL158" s="104" t="str">
        <f>IF(ISBLANK($BH158),"-",(IF(BE158="-","-",BE158*(Lists!$K$11/100))))</f>
        <v>-</v>
      </c>
      <c r="BM158" s="132" t="s">
        <v>15</v>
      </c>
      <c r="BN158" s="156"/>
      <c r="BO158" s="104">
        <f>IF(ISBLANK(BM158),"-",((Lists!$K$19/100)*(IF(BD158&lt;&gt;"-",BD158,BE158))))</f>
        <v>276</v>
      </c>
      <c r="BP158" s="104" t="str">
        <f>IF(ISBLANK(BN158),"-",((Lists!$K$20/100)*(IF(BD158&lt;&gt;"-",BD158,BE158))))</f>
        <v>-</v>
      </c>
    </row>
    <row r="159" spans="1:68" ht="34.5" customHeight="1" x14ac:dyDescent="0.25">
      <c r="A159" s="130" t="s">
        <v>91</v>
      </c>
      <c r="B159" s="149"/>
      <c r="C159" s="309"/>
      <c r="D159" s="309"/>
      <c r="E159" s="97">
        <v>230</v>
      </c>
      <c r="F159" s="97" t="s">
        <v>110</v>
      </c>
      <c r="G159" s="97">
        <v>230</v>
      </c>
      <c r="H159" s="97" t="s">
        <v>295</v>
      </c>
      <c r="I159" s="128"/>
      <c r="J159" s="96" t="s">
        <v>421</v>
      </c>
      <c r="K159" s="303"/>
      <c r="L159" s="357"/>
      <c r="M159" s="329"/>
      <c r="N159" s="329"/>
      <c r="O159" s="329"/>
      <c r="P159" s="329"/>
      <c r="Q159" s="329"/>
      <c r="R159" s="329"/>
      <c r="S159" s="329"/>
      <c r="T159" s="329"/>
      <c r="U159" s="357"/>
      <c r="V159" s="100"/>
      <c r="W159" s="100"/>
      <c r="X159" s="100"/>
      <c r="Y159" s="100"/>
      <c r="Z159" s="100"/>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t="s">
        <v>299</v>
      </c>
      <c r="AV159" s="100"/>
      <c r="AW159" s="100"/>
      <c r="AX159" s="100"/>
      <c r="AY159" s="100"/>
      <c r="AZ159" s="100"/>
      <c r="BA159" s="100"/>
      <c r="BB159" s="107"/>
      <c r="BC159" s="102">
        <f>IF((SUMPRODUCT(--(V159:AV159&lt;&gt;""))=0),"0",(VLOOKUP((MATCH("X",$V159:$AV159,0)), Lists!$E$13:$G$39,3)))</f>
        <v>1766</v>
      </c>
      <c r="BD159" s="103" t="str">
        <f t="shared" si="4"/>
        <v>-</v>
      </c>
      <c r="BE159" s="103">
        <f t="shared" si="5"/>
        <v>406180</v>
      </c>
      <c r="BF159" s="82"/>
      <c r="BG159" s="98" t="s">
        <v>15</v>
      </c>
      <c r="BH159" s="132" t="s">
        <v>15</v>
      </c>
      <c r="BI159" s="104" t="str">
        <f>IF(ISBLANK($BG159),"-",(IF(BD159="-","-",BD159*(Lists!$K$10/100))))</f>
        <v>-</v>
      </c>
      <c r="BJ159" s="104" t="str">
        <f>IF(ISBLANK($BH159),"-",(IF(BD159="-","-",BD159*(Lists!$K$11/100))))</f>
        <v>-</v>
      </c>
      <c r="BK159" s="104">
        <f>IF(ISBLANK($BG159),"-",(IF(BE159="-","-",BE159*(Lists!$K$10/100))))</f>
        <v>60927</v>
      </c>
      <c r="BL159" s="104">
        <f>IF(ISBLANK($BH159),"-",(IF(BE159="-","-",BE159*(Lists!$K$11/100))))</f>
        <v>40618</v>
      </c>
      <c r="BM159" s="132" t="s">
        <v>15</v>
      </c>
      <c r="BN159" s="156"/>
      <c r="BO159" s="104">
        <f>IF(ISBLANK(BM159),"-",((Lists!$K$19/100)*(IF(BD159&lt;&gt;"-",BD159,BE159))))</f>
        <v>2030.9</v>
      </c>
      <c r="BP159" s="104" t="str">
        <f>IF(ISBLANK(BN159),"-",((Lists!$K$20/100)*(IF(BD159&lt;&gt;"-",BD159,BE159))))</f>
        <v>-</v>
      </c>
    </row>
    <row r="160" spans="1:68" ht="34.5" customHeight="1" x14ac:dyDescent="0.25">
      <c r="A160" s="130" t="s">
        <v>91</v>
      </c>
      <c r="B160" s="149"/>
      <c r="C160" s="309"/>
      <c r="D160" s="309"/>
      <c r="E160" s="97">
        <v>230</v>
      </c>
      <c r="F160" s="97" t="s">
        <v>110</v>
      </c>
      <c r="G160" s="97">
        <v>6</v>
      </c>
      <c r="H160" s="97" t="s">
        <v>294</v>
      </c>
      <c r="I160" s="128"/>
      <c r="J160" s="96" t="s">
        <v>507</v>
      </c>
      <c r="K160" s="303"/>
      <c r="L160" s="357"/>
      <c r="M160" s="329"/>
      <c r="N160" s="329"/>
      <c r="O160" s="329"/>
      <c r="P160" s="329"/>
      <c r="Q160" s="329"/>
      <c r="R160" s="329"/>
      <c r="S160" s="329"/>
      <c r="T160" s="329"/>
      <c r="U160" s="357"/>
      <c r="V160" s="100"/>
      <c r="W160" s="100"/>
      <c r="X160" s="100"/>
      <c r="Y160" s="100"/>
      <c r="Z160" s="10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t="s">
        <v>299</v>
      </c>
      <c r="AU160" s="100"/>
      <c r="AV160" s="100"/>
      <c r="AW160" s="100"/>
      <c r="AX160" s="100"/>
      <c r="AY160" s="100"/>
      <c r="AZ160" s="100"/>
      <c r="BA160" s="100"/>
      <c r="BB160" s="107"/>
      <c r="BC160" s="102">
        <f>IF((SUMPRODUCT(--(V160:AV160&lt;&gt;""))=0),"0",(VLOOKUP((MATCH("X",$V160:$AV160,0)), Lists!$E$13:$G$39,3)))</f>
        <v>20000</v>
      </c>
      <c r="BD160" s="103">
        <f t="shared" si="4"/>
        <v>120000</v>
      </c>
      <c r="BE160" s="103" t="str">
        <f t="shared" si="5"/>
        <v>-</v>
      </c>
      <c r="BF160" s="82"/>
      <c r="BG160" s="98" t="s">
        <v>15</v>
      </c>
      <c r="BH160" s="132" t="s">
        <v>15</v>
      </c>
      <c r="BI160" s="104">
        <f>IF(ISBLANK($BG160),"-",(IF(BD160="-","-",BD160*(Lists!$K$10/100))))</f>
        <v>18000</v>
      </c>
      <c r="BJ160" s="104">
        <f>IF(ISBLANK($BH160),"-",(IF(BD160="-","-",BD160*(Lists!$K$11/100))))</f>
        <v>12000</v>
      </c>
      <c r="BK160" s="104" t="str">
        <f>IF(ISBLANK($BG160),"-",(IF(BE160="-","-",BE160*(Lists!$K$10/100))))</f>
        <v>-</v>
      </c>
      <c r="BL160" s="104" t="str">
        <f>IF(ISBLANK($BH160),"-",(IF(BE160="-","-",BE160*(Lists!$K$11/100))))</f>
        <v>-</v>
      </c>
      <c r="BM160" s="132" t="s">
        <v>15</v>
      </c>
      <c r="BN160" s="156"/>
      <c r="BO160" s="104">
        <f>IF(ISBLANK(BM160),"-",((Lists!$K$19/100)*(IF(BD160&lt;&gt;"-",BD160,BE160))))</f>
        <v>600</v>
      </c>
      <c r="BP160" s="104" t="str">
        <f>IF(ISBLANK(BN160),"-",((Lists!$K$20/100)*(IF(BD160&lt;&gt;"-",BD160,BE160))))</f>
        <v>-</v>
      </c>
    </row>
    <row r="161" spans="1:68" ht="34.5" customHeight="1" x14ac:dyDescent="0.25">
      <c r="A161" s="130" t="s">
        <v>91</v>
      </c>
      <c r="B161" s="131"/>
      <c r="C161" s="309"/>
      <c r="D161" s="309"/>
      <c r="E161" s="97">
        <v>200</v>
      </c>
      <c r="F161" s="97" t="s">
        <v>110</v>
      </c>
      <c r="G161" s="97">
        <v>200</v>
      </c>
      <c r="H161" s="97" t="s">
        <v>295</v>
      </c>
      <c r="I161" s="128"/>
      <c r="J161" s="96" t="s">
        <v>536</v>
      </c>
      <c r="K161" s="356"/>
      <c r="L161" s="304"/>
      <c r="M161" s="306"/>
      <c r="N161" s="306"/>
      <c r="O161" s="306"/>
      <c r="P161" s="306"/>
      <c r="Q161" s="306"/>
      <c r="R161" s="306"/>
      <c r="S161" s="306"/>
      <c r="T161" s="306"/>
      <c r="U161" s="304"/>
      <c r="V161" s="100"/>
      <c r="W161" s="100"/>
      <c r="X161" s="100"/>
      <c r="Y161" s="100"/>
      <c r="Z161" s="100"/>
      <c r="AA161" s="100"/>
      <c r="AB161" s="100"/>
      <c r="AC161" s="100"/>
      <c r="AD161" s="100"/>
      <c r="AE161" s="100"/>
      <c r="AF161" s="100"/>
      <c r="AG161" s="100"/>
      <c r="AH161" s="100"/>
      <c r="AI161" s="100"/>
      <c r="AJ161" s="100"/>
      <c r="AK161" s="100"/>
      <c r="AL161" s="100"/>
      <c r="AM161" s="100" t="s">
        <v>299</v>
      </c>
      <c r="AN161" s="100"/>
      <c r="AO161" s="100"/>
      <c r="AP161" s="100"/>
      <c r="AQ161" s="100"/>
      <c r="AR161" s="100"/>
      <c r="AS161" s="100"/>
      <c r="AT161" s="100"/>
      <c r="AU161" s="100"/>
      <c r="AV161" s="100"/>
      <c r="AW161" s="100"/>
      <c r="AX161" s="100"/>
      <c r="AY161" s="100"/>
      <c r="AZ161" s="100"/>
      <c r="BA161" s="100"/>
      <c r="BB161" s="107"/>
      <c r="BC161" s="102">
        <f>IF((SUMPRODUCT(--(V161:AV161&lt;&gt;""))=0),"0",(VLOOKUP((MATCH("X",$V161:$AV161,0)), Lists!$E$13:$G$39,3)))</f>
        <v>50</v>
      </c>
      <c r="BD161" s="103">
        <f t="shared" si="4"/>
        <v>10000</v>
      </c>
      <c r="BE161" s="103" t="str">
        <f t="shared" si="5"/>
        <v>-</v>
      </c>
      <c r="BF161" s="82"/>
      <c r="BG161" s="98" t="s">
        <v>15</v>
      </c>
      <c r="BH161" s="132" t="s">
        <v>15</v>
      </c>
      <c r="BI161" s="104">
        <f>IF(ISBLANK($BG161),"-",(IF(BD161="-","-",BD161*(Lists!$K$10/100))))</f>
        <v>1500</v>
      </c>
      <c r="BJ161" s="104">
        <f>IF(ISBLANK($BH161),"-",(IF(BD161="-","-",BD161*(Lists!$K$11/100))))</f>
        <v>1000</v>
      </c>
      <c r="BK161" s="104" t="str">
        <f>IF(ISBLANK($BG161),"-",(IF(BE161="-","-",BE161*(Lists!$K$10/100))))</f>
        <v>-</v>
      </c>
      <c r="BL161" s="104" t="str">
        <f>IF(ISBLANK($BH161),"-",(IF(BE161="-","-",BE161*(Lists!$K$11/100))))</f>
        <v>-</v>
      </c>
      <c r="BM161" s="132" t="s">
        <v>15</v>
      </c>
      <c r="BN161" s="156"/>
      <c r="BO161" s="104">
        <f>IF(ISBLANK(BM161),"-",((Lists!$K$19/100)*(IF(BD161&lt;&gt;"-",BD161,BE161))))</f>
        <v>50</v>
      </c>
      <c r="BP161" s="104" t="str">
        <f>IF(ISBLANK(BN161),"-",((Lists!$K$20/100)*(IF(BD161&lt;&gt;"-",BD161,BE161))))</f>
        <v>-</v>
      </c>
    </row>
    <row r="162" spans="1:68" s="155" customFormat="1" ht="38.25" x14ac:dyDescent="0.25">
      <c r="A162" s="109" t="s">
        <v>91</v>
      </c>
      <c r="B162" s="182"/>
      <c r="C162" s="110" t="s">
        <v>73</v>
      </c>
      <c r="D162" s="110" t="s">
        <v>74</v>
      </c>
      <c r="E162" s="110">
        <v>300</v>
      </c>
      <c r="F162" s="110" t="s">
        <v>110</v>
      </c>
      <c r="G162" s="110" t="s">
        <v>110</v>
      </c>
      <c r="H162" s="110" t="s">
        <v>110</v>
      </c>
      <c r="I162" s="182"/>
      <c r="J162" s="112" t="s">
        <v>180</v>
      </c>
      <c r="K162" s="112" t="s">
        <v>335</v>
      </c>
      <c r="L162" s="182"/>
      <c r="M162" s="164"/>
      <c r="N162" s="164"/>
      <c r="O162" s="164"/>
      <c r="P162" s="164"/>
      <c r="Q162" s="164"/>
      <c r="R162" s="164"/>
      <c r="S162" s="164"/>
      <c r="T162" s="164"/>
      <c r="U162" s="112" t="s">
        <v>181</v>
      </c>
      <c r="V162" s="114"/>
      <c r="W162" s="114"/>
      <c r="X162" s="114"/>
      <c r="Y162" s="114"/>
      <c r="Z162" s="114"/>
      <c r="AA162" s="114"/>
      <c r="AB162" s="114"/>
      <c r="AC162" s="114"/>
      <c r="AD162" s="114"/>
      <c r="AE162" s="114"/>
      <c r="AF162" s="114"/>
      <c r="AG162" s="114"/>
      <c r="AH162" s="114"/>
      <c r="AI162" s="114"/>
      <c r="AJ162" s="114"/>
      <c r="AK162" s="114"/>
      <c r="AL162" s="114"/>
      <c r="AM162" s="114"/>
      <c r="AN162" s="114"/>
      <c r="AO162" s="114"/>
      <c r="AP162" s="114"/>
      <c r="AQ162" s="114"/>
      <c r="AR162" s="114"/>
      <c r="AS162" s="114"/>
      <c r="AT162" s="114"/>
      <c r="AU162" s="114"/>
      <c r="AV162" s="114"/>
      <c r="AW162" s="114"/>
      <c r="AX162" s="114"/>
      <c r="AY162" s="114"/>
      <c r="AZ162" s="114"/>
      <c r="BA162" s="114"/>
      <c r="BB162" s="115"/>
      <c r="BC162" s="102" t="str">
        <f>IF((SUMPRODUCT(--(V162:AV162&lt;&gt;""))=0),"0",(VLOOKUP((MATCH("X",$V162:$AV162,0)), Lists!$E$13:$G$39,3)))</f>
        <v>0</v>
      </c>
      <c r="BD162" s="103" t="str">
        <f t="shared" si="4"/>
        <v>-</v>
      </c>
      <c r="BE162" s="103" t="str">
        <f t="shared" si="5"/>
        <v>-</v>
      </c>
      <c r="BF162" s="154"/>
      <c r="BG162" s="113"/>
      <c r="BH162" s="113"/>
      <c r="BI162" s="117" t="str">
        <f>IF(ISBLANK($BG162),"-",(IF(BD162="-","-",BD162*(Lists!$K$10/100))))</f>
        <v>-</v>
      </c>
      <c r="BJ162" s="117" t="str">
        <f>IF(ISBLANK($BH162),"-",(IF(BD162="-","-",BD162*(Lists!$K$11/100))))</f>
        <v>-</v>
      </c>
      <c r="BK162" s="117" t="str">
        <f>IF(ISBLANK($BG162),"-",(IF(BE162="-","-",BE162*(Lists!$K$10/100))))</f>
        <v>-</v>
      </c>
      <c r="BL162" s="117" t="str">
        <f>IF(ISBLANK($BH162),"-",(IF(BE162="-","-",BE162*(Lists!$K$11/100))))</f>
        <v>-</v>
      </c>
      <c r="BM162" s="164"/>
      <c r="BN162" s="164"/>
      <c r="BO162" s="117" t="str">
        <f>IF(ISBLANK(BM162),"-",((Lists!$K$19/100)*(IF(BD162&lt;&gt;"-",BD162,BE162))))</f>
        <v>-</v>
      </c>
      <c r="BP162" s="117" t="str">
        <f>IF(ISBLANK(BN162),"-",((Lists!$K$20/100)*(IF(BD162&lt;&gt;"-",BD162,BE162))))</f>
        <v>-</v>
      </c>
    </row>
    <row r="163" spans="1:68" ht="51" x14ac:dyDescent="0.25">
      <c r="A163" s="128" t="s">
        <v>91</v>
      </c>
      <c r="B163" s="128"/>
      <c r="C163" s="309" t="s">
        <v>74</v>
      </c>
      <c r="D163" s="309" t="s">
        <v>75</v>
      </c>
      <c r="E163" s="97">
        <v>485</v>
      </c>
      <c r="F163" s="97" t="s">
        <v>110</v>
      </c>
      <c r="G163" s="97">
        <v>485</v>
      </c>
      <c r="H163" s="97" t="s">
        <v>295</v>
      </c>
      <c r="I163" s="128"/>
      <c r="J163" s="96" t="s">
        <v>692</v>
      </c>
      <c r="K163" s="314" t="s">
        <v>335</v>
      </c>
      <c r="L163" s="184"/>
      <c r="M163" s="129"/>
      <c r="N163" s="129"/>
      <c r="O163" s="129"/>
      <c r="P163" s="129"/>
      <c r="Q163" s="129"/>
      <c r="R163" s="129"/>
      <c r="S163" s="129"/>
      <c r="T163" s="129"/>
      <c r="U163" s="96" t="s">
        <v>179</v>
      </c>
      <c r="V163" s="100"/>
      <c r="W163" s="100"/>
      <c r="X163" s="100"/>
      <c r="Y163" s="100"/>
      <c r="Z163" s="100"/>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t="s">
        <v>299</v>
      </c>
      <c r="AW163" s="100"/>
      <c r="AX163" s="100"/>
      <c r="AY163" s="100"/>
      <c r="AZ163" s="100"/>
      <c r="BA163" s="100"/>
      <c r="BB163" s="107"/>
      <c r="BC163" s="102">
        <f>IF((SUMPRODUCT(--(V163:AV163&lt;&gt;""))=0),"0",(VLOOKUP((MATCH("X",$V163:$AV163,0)), Lists!$E$13:$G$39,3)))</f>
        <v>240</v>
      </c>
      <c r="BD163" s="103">
        <f t="shared" si="4"/>
        <v>116400</v>
      </c>
      <c r="BE163" s="103" t="str">
        <f t="shared" si="5"/>
        <v>-</v>
      </c>
      <c r="BF163" s="82"/>
      <c r="BG163" s="98" t="s">
        <v>15</v>
      </c>
      <c r="BH163" s="98" t="s">
        <v>15</v>
      </c>
      <c r="BI163" s="104">
        <f>IF(ISBLANK($BG163),"-",(IF(BD163="-","-",BD163*(Lists!$K$10/100))))</f>
        <v>17460</v>
      </c>
      <c r="BJ163" s="104">
        <f>IF(ISBLANK($BH163),"-",(IF(BD163="-","-",BD163*(Lists!$K$11/100))))</f>
        <v>11640</v>
      </c>
      <c r="BK163" s="104" t="str">
        <f>IF(ISBLANK($BG163),"-",(IF(BE163="-","-",BE163*(Lists!$K$10/100))))</f>
        <v>-</v>
      </c>
      <c r="BL163" s="104" t="str">
        <f>IF(ISBLANK($BH163),"-",(IF(BE163="-","-",BE163*(Lists!$K$11/100))))</f>
        <v>-</v>
      </c>
      <c r="BM163" s="129"/>
      <c r="BN163" s="98" t="s">
        <v>15</v>
      </c>
      <c r="BO163" s="104" t="str">
        <f>IF(ISBLANK(BM163),"-",((Lists!$K$19/100)*(IF(BD163&lt;&gt;"-",BD163,BE163))))</f>
        <v>-</v>
      </c>
      <c r="BP163" s="104">
        <f>IF(ISBLANK(BN163),"-",((Lists!$K$20/100)*(IF(BD163&lt;&gt;"-",BD163,BE163))))</f>
        <v>5820</v>
      </c>
    </row>
    <row r="164" spans="1:68" ht="42.75" customHeight="1" x14ac:dyDescent="0.25">
      <c r="A164" s="128" t="s">
        <v>91</v>
      </c>
      <c r="B164" s="128"/>
      <c r="C164" s="309"/>
      <c r="D164" s="309"/>
      <c r="E164" s="97">
        <v>135</v>
      </c>
      <c r="F164" s="97" t="s">
        <v>110</v>
      </c>
      <c r="G164" s="97">
        <v>135</v>
      </c>
      <c r="H164" s="97" t="s">
        <v>295</v>
      </c>
      <c r="I164" s="128"/>
      <c r="J164" s="96" t="s">
        <v>620</v>
      </c>
      <c r="K164" s="315"/>
      <c r="L164" s="185"/>
      <c r="M164" s="129" t="s">
        <v>15</v>
      </c>
      <c r="N164" s="133"/>
      <c r="O164" s="133"/>
      <c r="P164" s="133"/>
      <c r="Q164" s="129" t="s">
        <v>15</v>
      </c>
      <c r="R164" s="133"/>
      <c r="S164" s="133"/>
      <c r="T164" s="133"/>
      <c r="U164" s="141" t="s">
        <v>537</v>
      </c>
      <c r="V164" s="100"/>
      <c r="W164" s="100"/>
      <c r="X164" s="100"/>
      <c r="Y164" s="100"/>
      <c r="Z164" s="100"/>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t="s">
        <v>299</v>
      </c>
      <c r="AV164" s="100"/>
      <c r="AW164" s="100"/>
      <c r="AX164" s="100"/>
      <c r="AY164" s="100"/>
      <c r="AZ164" s="100"/>
      <c r="BA164" s="100"/>
      <c r="BB164" s="107"/>
      <c r="BC164" s="102">
        <f>IF((SUMPRODUCT(--(V164:AV164&lt;&gt;""))=0),"0",(VLOOKUP((MATCH("X",$V164:$AV164,0)), Lists!$E$13:$G$39,3)))</f>
        <v>1766</v>
      </c>
      <c r="BD164" s="103" t="str">
        <f t="shared" si="4"/>
        <v>-</v>
      </c>
      <c r="BE164" s="103">
        <f t="shared" si="5"/>
        <v>238410</v>
      </c>
      <c r="BF164" s="82"/>
      <c r="BG164" s="98" t="s">
        <v>15</v>
      </c>
      <c r="BH164" s="132" t="s">
        <v>15</v>
      </c>
      <c r="BI164" s="104" t="str">
        <f>IF(ISBLANK($BG164),"-",(IF(BD164="-","-",BD164*(Lists!$K$10/100))))</f>
        <v>-</v>
      </c>
      <c r="BJ164" s="104" t="str">
        <f>IF(ISBLANK($BH164),"-",(IF(BD164="-","-",BD164*(Lists!$K$11/100))))</f>
        <v>-</v>
      </c>
      <c r="BK164" s="104">
        <f>IF(ISBLANK($BG164),"-",(IF(BE164="-","-",BE164*(Lists!$K$10/100))))</f>
        <v>35761.5</v>
      </c>
      <c r="BL164" s="104">
        <f>IF(ISBLANK($BH164),"-",(IF(BE164="-","-",BE164*(Lists!$K$11/100))))</f>
        <v>23841</v>
      </c>
      <c r="BM164" s="132" t="s">
        <v>15</v>
      </c>
      <c r="BN164" s="156"/>
      <c r="BO164" s="104">
        <f>IF(ISBLANK(BM164),"-",((Lists!$K$19/100)*(IF(BD164&lt;&gt;"-",BD164,BE164))))</f>
        <v>1192.05</v>
      </c>
      <c r="BP164" s="104" t="str">
        <f>IF(ISBLANK(BN164),"-",((Lists!$K$20/100)*(IF(BD164&lt;&gt;"-",BD164,BE164))))</f>
        <v>-</v>
      </c>
    </row>
    <row r="165" spans="1:68" ht="27" customHeight="1" x14ac:dyDescent="0.25">
      <c r="A165" s="128" t="s">
        <v>91</v>
      </c>
      <c r="B165" s="128"/>
      <c r="C165" s="309"/>
      <c r="D165" s="309"/>
      <c r="E165" s="97">
        <v>135</v>
      </c>
      <c r="F165" s="97" t="s">
        <v>110</v>
      </c>
      <c r="G165" s="97">
        <v>135</v>
      </c>
      <c r="H165" s="97" t="s">
        <v>295</v>
      </c>
      <c r="I165" s="128"/>
      <c r="J165" s="96" t="s">
        <v>697</v>
      </c>
      <c r="K165" s="315"/>
      <c r="L165" s="354"/>
      <c r="M165" s="305"/>
      <c r="N165" s="305"/>
      <c r="O165" s="305"/>
      <c r="P165" s="305"/>
      <c r="Q165" s="305" t="s">
        <v>15</v>
      </c>
      <c r="R165" s="305"/>
      <c r="S165" s="305"/>
      <c r="T165" s="305"/>
      <c r="U165" s="314" t="s">
        <v>428</v>
      </c>
      <c r="V165" s="100"/>
      <c r="W165" s="100"/>
      <c r="X165" s="100"/>
      <c r="Y165" s="100"/>
      <c r="Z165" s="100"/>
      <c r="AA165" s="100"/>
      <c r="AB165" s="100"/>
      <c r="AC165" s="100"/>
      <c r="AD165" s="100"/>
      <c r="AE165" s="100"/>
      <c r="AF165" s="100"/>
      <c r="AG165" s="100"/>
      <c r="AH165" s="100"/>
      <c r="AI165" s="100"/>
      <c r="AJ165" s="100"/>
      <c r="AK165" s="100"/>
      <c r="AL165" s="100"/>
      <c r="AM165" s="100"/>
      <c r="AN165" s="100"/>
      <c r="AO165" s="100"/>
      <c r="AP165" s="100"/>
      <c r="AQ165" s="100"/>
      <c r="AR165" s="100"/>
      <c r="AS165" s="100"/>
      <c r="AT165" s="100"/>
      <c r="AU165" s="100"/>
      <c r="AV165" s="100" t="s">
        <v>299</v>
      </c>
      <c r="AW165" s="100"/>
      <c r="AX165" s="100"/>
      <c r="AY165" s="100"/>
      <c r="AZ165" s="100"/>
      <c r="BA165" s="100"/>
      <c r="BB165" s="107"/>
      <c r="BC165" s="102">
        <f>IF((SUMPRODUCT(--(V165:AV165&lt;&gt;""))=0),"0",(VLOOKUP((MATCH("X",$V165:$AV165,0)), Lists!$E$13:$G$39,3)))</f>
        <v>240</v>
      </c>
      <c r="BD165" s="103">
        <f t="shared" si="4"/>
        <v>32400</v>
      </c>
      <c r="BE165" s="103" t="str">
        <f t="shared" si="5"/>
        <v>-</v>
      </c>
      <c r="BF165" s="82"/>
      <c r="BG165" s="132" t="s">
        <v>15</v>
      </c>
      <c r="BH165" s="132" t="s">
        <v>15</v>
      </c>
      <c r="BI165" s="104">
        <f>IF(ISBLANK($BG165),"-",(IF(BD165="-","-",BD165*(Lists!$K$10/100))))</f>
        <v>4860</v>
      </c>
      <c r="BJ165" s="104">
        <f>IF(ISBLANK($BH165),"-",(IF(BD165="-","-",BD165*(Lists!$K$11/100))))</f>
        <v>3240</v>
      </c>
      <c r="BK165" s="104" t="str">
        <f>IF(ISBLANK($BG165),"-",(IF(BE165="-","-",BE165*(Lists!$K$10/100))))</f>
        <v>-</v>
      </c>
      <c r="BL165" s="104" t="str">
        <f>IF(ISBLANK($BH165),"-",(IF(BE165="-","-",BE165*(Lists!$K$11/100))))</f>
        <v>-</v>
      </c>
      <c r="BM165" s="132" t="s">
        <v>15</v>
      </c>
      <c r="BN165" s="156"/>
      <c r="BO165" s="104">
        <f>IF(ISBLANK(BM165),"-",((Lists!$K$19/100)*(IF(BD165&lt;&gt;"-",BD165,BE165))))</f>
        <v>162</v>
      </c>
      <c r="BP165" s="104" t="str">
        <f>IF(ISBLANK(BN165),"-",((Lists!$K$20/100)*(IF(BD165&lt;&gt;"-",BD165,BE165))))</f>
        <v>-</v>
      </c>
    </row>
    <row r="166" spans="1:68" ht="27" customHeight="1" x14ac:dyDescent="0.25">
      <c r="A166" s="128" t="s">
        <v>91</v>
      </c>
      <c r="B166" s="128"/>
      <c r="C166" s="309"/>
      <c r="D166" s="309"/>
      <c r="E166" s="97">
        <v>135</v>
      </c>
      <c r="F166" s="97" t="s">
        <v>110</v>
      </c>
      <c r="G166" s="97">
        <v>2</v>
      </c>
      <c r="H166" s="97" t="s">
        <v>294</v>
      </c>
      <c r="I166" s="128"/>
      <c r="J166" s="96" t="s">
        <v>507</v>
      </c>
      <c r="K166" s="315"/>
      <c r="L166" s="355"/>
      <c r="M166" s="329"/>
      <c r="N166" s="329"/>
      <c r="O166" s="329"/>
      <c r="P166" s="329"/>
      <c r="Q166" s="329"/>
      <c r="R166" s="329"/>
      <c r="S166" s="329"/>
      <c r="T166" s="329"/>
      <c r="U166" s="315"/>
      <c r="V166" s="100"/>
      <c r="W166" s="100"/>
      <c r="X166" s="100"/>
      <c r="Y166" s="100"/>
      <c r="Z166" s="100"/>
      <c r="AA166" s="100"/>
      <c r="AB166" s="100"/>
      <c r="AC166" s="100"/>
      <c r="AD166" s="100"/>
      <c r="AE166" s="100"/>
      <c r="AF166" s="100"/>
      <c r="AG166" s="100"/>
      <c r="AH166" s="100"/>
      <c r="AI166" s="100"/>
      <c r="AJ166" s="100"/>
      <c r="AK166" s="100"/>
      <c r="AL166" s="100"/>
      <c r="AM166" s="100"/>
      <c r="AN166" s="100"/>
      <c r="AO166" s="100"/>
      <c r="AP166" s="100"/>
      <c r="AQ166" s="100"/>
      <c r="AR166" s="100"/>
      <c r="AS166" s="100"/>
      <c r="AT166" s="100" t="s">
        <v>299</v>
      </c>
      <c r="AU166" s="100"/>
      <c r="AV166" s="100"/>
      <c r="AW166" s="100"/>
      <c r="AX166" s="100"/>
      <c r="AY166" s="100"/>
      <c r="AZ166" s="100"/>
      <c r="BA166" s="100"/>
      <c r="BB166" s="107"/>
      <c r="BC166" s="102">
        <f>IF((SUMPRODUCT(--(V166:AV166&lt;&gt;""))=0),"0",(VLOOKUP((MATCH("X",$V166:$AV166,0)), Lists!$E$13:$G$39,3)))</f>
        <v>20000</v>
      </c>
      <c r="BD166" s="103">
        <f t="shared" si="4"/>
        <v>40000</v>
      </c>
      <c r="BE166" s="103" t="str">
        <f t="shared" si="5"/>
        <v>-</v>
      </c>
      <c r="BF166" s="82"/>
      <c r="BG166" s="132" t="s">
        <v>15</v>
      </c>
      <c r="BH166" s="132" t="s">
        <v>15</v>
      </c>
      <c r="BI166" s="104">
        <f>IF(ISBLANK($BG166),"-",(IF(BD166="-","-",BD166*(Lists!$K$10/100))))</f>
        <v>6000</v>
      </c>
      <c r="BJ166" s="104">
        <f>IF(ISBLANK($BH166),"-",(IF(BD166="-","-",BD166*(Lists!$K$11/100))))</f>
        <v>4000</v>
      </c>
      <c r="BK166" s="104" t="str">
        <f>IF(ISBLANK($BG166),"-",(IF(BE166="-","-",BE166*(Lists!$K$10/100))))</f>
        <v>-</v>
      </c>
      <c r="BL166" s="104" t="str">
        <f>IF(ISBLANK($BH166),"-",(IF(BE166="-","-",BE166*(Lists!$K$11/100))))</f>
        <v>-</v>
      </c>
      <c r="BM166" s="132" t="s">
        <v>15</v>
      </c>
      <c r="BN166" s="156"/>
      <c r="BO166" s="104">
        <f>IF(ISBLANK(BM166),"-",((Lists!$K$19/100)*(IF(BD166&lt;&gt;"-",BD166,BE166))))</f>
        <v>200</v>
      </c>
      <c r="BP166" s="104" t="str">
        <f>IF(ISBLANK(BN166),"-",((Lists!$K$20/100)*(IF(BD166&lt;&gt;"-",BD166,BE166))))</f>
        <v>-</v>
      </c>
    </row>
    <row r="167" spans="1:68" ht="27" customHeight="1" x14ac:dyDescent="0.25">
      <c r="A167" s="128" t="s">
        <v>91</v>
      </c>
      <c r="B167" s="128"/>
      <c r="C167" s="309"/>
      <c r="D167" s="309"/>
      <c r="E167" s="97">
        <v>135</v>
      </c>
      <c r="F167" s="97" t="s">
        <v>110</v>
      </c>
      <c r="G167" s="97">
        <v>135</v>
      </c>
      <c r="H167" s="97" t="s">
        <v>295</v>
      </c>
      <c r="I167" s="128"/>
      <c r="J167" s="96" t="s">
        <v>426</v>
      </c>
      <c r="K167" s="319"/>
      <c r="L167" s="304"/>
      <c r="M167" s="306"/>
      <c r="N167" s="306"/>
      <c r="O167" s="306"/>
      <c r="P167" s="306"/>
      <c r="Q167" s="306"/>
      <c r="R167" s="306"/>
      <c r="S167" s="306"/>
      <c r="T167" s="306"/>
      <c r="U167" s="304"/>
      <c r="V167" s="100"/>
      <c r="W167" s="100"/>
      <c r="X167" s="100"/>
      <c r="Y167" s="100"/>
      <c r="Z167" s="100"/>
      <c r="AA167" s="100"/>
      <c r="AB167" s="100"/>
      <c r="AC167" s="100"/>
      <c r="AD167" s="100"/>
      <c r="AE167" s="100"/>
      <c r="AF167" s="100"/>
      <c r="AG167" s="100"/>
      <c r="AH167" s="100"/>
      <c r="AI167" s="100"/>
      <c r="AJ167" s="100"/>
      <c r="AK167" s="100"/>
      <c r="AL167" s="100"/>
      <c r="AM167" s="100" t="s">
        <v>299</v>
      </c>
      <c r="AN167" s="100"/>
      <c r="AO167" s="100"/>
      <c r="AP167" s="100"/>
      <c r="AQ167" s="100"/>
      <c r="AR167" s="100"/>
      <c r="AS167" s="100"/>
      <c r="AT167" s="100"/>
      <c r="AU167" s="100"/>
      <c r="AV167" s="100"/>
      <c r="AW167" s="100"/>
      <c r="AX167" s="100"/>
      <c r="AY167" s="100"/>
      <c r="AZ167" s="100"/>
      <c r="BA167" s="100"/>
      <c r="BB167" s="107"/>
      <c r="BC167" s="102">
        <f>IF((SUMPRODUCT(--(V167:AV167&lt;&gt;""))=0),"0",(VLOOKUP((MATCH("X",$V167:$AV167,0)), Lists!$E$13:$G$39,3)))</f>
        <v>50</v>
      </c>
      <c r="BD167" s="103">
        <f t="shared" si="4"/>
        <v>6750</v>
      </c>
      <c r="BE167" s="103" t="str">
        <f t="shared" si="5"/>
        <v>-</v>
      </c>
      <c r="BF167" s="82"/>
      <c r="BG167" s="132" t="s">
        <v>15</v>
      </c>
      <c r="BH167" s="132" t="s">
        <v>15</v>
      </c>
      <c r="BI167" s="104">
        <f>IF(ISBLANK($BG167),"-",(IF(BD167="-","-",BD167*(Lists!$K$10/100))))</f>
        <v>1012.5</v>
      </c>
      <c r="BJ167" s="104">
        <f>IF(ISBLANK($BH167),"-",(IF(BD167="-","-",BD167*(Lists!$K$11/100))))</f>
        <v>675</v>
      </c>
      <c r="BK167" s="104" t="str">
        <f>IF(ISBLANK($BG167),"-",(IF(BE167="-","-",BE167*(Lists!$K$10/100))))</f>
        <v>-</v>
      </c>
      <c r="BL167" s="104" t="str">
        <f>IF(ISBLANK($BH167),"-",(IF(BE167="-","-",BE167*(Lists!$K$11/100))))</f>
        <v>-</v>
      </c>
      <c r="BM167" s="132" t="s">
        <v>15</v>
      </c>
      <c r="BN167" s="156"/>
      <c r="BO167" s="104">
        <f>IF(ISBLANK(BM167),"-",((Lists!$K$19/100)*(IF(BD167&lt;&gt;"-",BD167,BE167))))</f>
        <v>33.75</v>
      </c>
      <c r="BP167" s="104" t="str">
        <f>IF(ISBLANK(BN167),"-",((Lists!$K$20/100)*(IF(BD167&lt;&gt;"-",BD167,BE167))))</f>
        <v>-</v>
      </c>
    </row>
    <row r="168" spans="1:68" x14ac:dyDescent="0.25">
      <c r="A168" s="105" t="s">
        <v>91</v>
      </c>
      <c r="B168" s="128"/>
      <c r="C168" s="97" t="s">
        <v>75</v>
      </c>
      <c r="D168" s="97" t="s">
        <v>76</v>
      </c>
      <c r="E168" s="97">
        <v>605</v>
      </c>
      <c r="F168" s="97" t="s">
        <v>110</v>
      </c>
      <c r="G168" s="97">
        <v>605</v>
      </c>
      <c r="H168" s="97" t="s">
        <v>295</v>
      </c>
      <c r="I168" s="128"/>
      <c r="J168" s="96" t="s">
        <v>693</v>
      </c>
      <c r="K168" s="314" t="s">
        <v>335</v>
      </c>
      <c r="L168" s="302"/>
      <c r="M168" s="305" t="s">
        <v>15</v>
      </c>
      <c r="N168" s="305"/>
      <c r="O168" s="305"/>
      <c r="P168" s="305"/>
      <c r="Q168" s="305" t="s">
        <v>15</v>
      </c>
      <c r="R168" s="305"/>
      <c r="S168" s="305"/>
      <c r="T168" s="305"/>
      <c r="U168" s="314" t="s">
        <v>427</v>
      </c>
      <c r="V168" s="100"/>
      <c r="W168" s="100"/>
      <c r="X168" s="100"/>
      <c r="Y168" s="100"/>
      <c r="Z168" s="100"/>
      <c r="AA168" s="100"/>
      <c r="AB168" s="100"/>
      <c r="AC168" s="100"/>
      <c r="AD168" s="100"/>
      <c r="AE168" s="100"/>
      <c r="AF168" s="100"/>
      <c r="AG168" s="100"/>
      <c r="AH168" s="100"/>
      <c r="AI168" s="100"/>
      <c r="AJ168" s="100"/>
      <c r="AK168" s="100"/>
      <c r="AL168" s="100"/>
      <c r="AM168" s="100"/>
      <c r="AN168" s="100"/>
      <c r="AO168" s="100"/>
      <c r="AP168" s="100"/>
      <c r="AQ168" s="100"/>
      <c r="AR168" s="100"/>
      <c r="AS168" s="100"/>
      <c r="AT168" s="100"/>
      <c r="AU168" s="100"/>
      <c r="AV168" s="100" t="s">
        <v>299</v>
      </c>
      <c r="AW168" s="100"/>
      <c r="AX168" s="100"/>
      <c r="AY168" s="100"/>
      <c r="AZ168" s="100"/>
      <c r="BA168" s="100"/>
      <c r="BB168" s="107"/>
      <c r="BC168" s="102">
        <f>IF((SUMPRODUCT(--(V168:AV168&lt;&gt;""))=0),"0",(VLOOKUP((MATCH("X",$V168:$AV168,0)), Lists!$E$13:$G$39,3)))</f>
        <v>240</v>
      </c>
      <c r="BD168" s="103">
        <f t="shared" si="4"/>
        <v>145200</v>
      </c>
      <c r="BE168" s="103" t="str">
        <f t="shared" si="5"/>
        <v>-</v>
      </c>
      <c r="BF168" s="82"/>
      <c r="BG168" s="132" t="s">
        <v>15</v>
      </c>
      <c r="BH168" s="132" t="s">
        <v>15</v>
      </c>
      <c r="BI168" s="104">
        <f>IF(ISBLANK($BG168),"-",(IF(BD168="-","-",BD168*(Lists!$K$10/100))))</f>
        <v>21780</v>
      </c>
      <c r="BJ168" s="104">
        <f>IF(ISBLANK($BH168),"-",(IF(BD168="-","-",BD168*(Lists!$K$11/100))))</f>
        <v>14520</v>
      </c>
      <c r="BK168" s="104" t="str">
        <f>IF(ISBLANK($BG168),"-",(IF(BE168="-","-",BE168*(Lists!$K$10/100))))</f>
        <v>-</v>
      </c>
      <c r="BL168" s="104" t="str">
        <f>IF(ISBLANK($BH168),"-",(IF(BE168="-","-",BE168*(Lists!$K$11/100))))</f>
        <v>-</v>
      </c>
      <c r="BM168" s="132" t="s">
        <v>15</v>
      </c>
      <c r="BN168" s="156"/>
      <c r="BO168" s="104">
        <f>IF(ISBLANK(BM168),"-",((Lists!$K$19/100)*(IF(BD168&lt;&gt;"-",BD168,BE168))))</f>
        <v>726</v>
      </c>
      <c r="BP168" s="104" t="str">
        <f>IF(ISBLANK(BN168),"-",((Lists!$K$20/100)*(IF(BD168&lt;&gt;"-",BD168,BE168))))</f>
        <v>-</v>
      </c>
    </row>
    <row r="169" spans="1:68" x14ac:dyDescent="0.25">
      <c r="A169" s="105" t="s">
        <v>91</v>
      </c>
      <c r="B169" s="128"/>
      <c r="C169" s="97" t="s">
        <v>75</v>
      </c>
      <c r="D169" s="97" t="s">
        <v>76</v>
      </c>
      <c r="E169" s="97">
        <v>605</v>
      </c>
      <c r="F169" s="97" t="s">
        <v>110</v>
      </c>
      <c r="G169" s="97">
        <v>605</v>
      </c>
      <c r="H169" s="97" t="s">
        <v>295</v>
      </c>
      <c r="I169" s="128"/>
      <c r="J169" s="96" t="s">
        <v>535</v>
      </c>
      <c r="K169" s="315"/>
      <c r="L169" s="303"/>
      <c r="M169" s="329"/>
      <c r="N169" s="329"/>
      <c r="O169" s="329"/>
      <c r="P169" s="329"/>
      <c r="Q169" s="329"/>
      <c r="R169" s="329"/>
      <c r="S169" s="329"/>
      <c r="T169" s="329"/>
      <c r="U169" s="315"/>
      <c r="V169" s="100"/>
      <c r="W169" s="100"/>
      <c r="X169" s="100"/>
      <c r="Y169" s="100"/>
      <c r="Z169" s="100"/>
      <c r="AA169" s="100"/>
      <c r="AB169" s="100"/>
      <c r="AC169" s="100"/>
      <c r="AD169" s="100"/>
      <c r="AE169" s="100"/>
      <c r="AF169" s="100"/>
      <c r="AG169" s="100"/>
      <c r="AH169" s="100"/>
      <c r="AI169" s="100"/>
      <c r="AJ169" s="100"/>
      <c r="AK169" s="100"/>
      <c r="AL169" s="100"/>
      <c r="AM169" s="100"/>
      <c r="AN169" s="100"/>
      <c r="AO169" s="100"/>
      <c r="AP169" s="100"/>
      <c r="AQ169" s="100"/>
      <c r="AR169" s="100"/>
      <c r="AS169" s="100"/>
      <c r="AT169" s="100"/>
      <c r="AU169" s="100" t="s">
        <v>299</v>
      </c>
      <c r="AV169" s="100"/>
      <c r="AW169" s="100"/>
      <c r="AX169" s="100"/>
      <c r="AY169" s="100"/>
      <c r="AZ169" s="100"/>
      <c r="BA169" s="100"/>
      <c r="BB169" s="107"/>
      <c r="BC169" s="102">
        <f>IF((SUMPRODUCT(--(V169:AV169&lt;&gt;""))=0),"0",(VLOOKUP((MATCH("X",$V169:$AV169,0)), Lists!$E$13:$G$39,3)))</f>
        <v>1766</v>
      </c>
      <c r="BD169" s="103" t="str">
        <f t="shared" si="4"/>
        <v>-</v>
      </c>
      <c r="BE169" s="103">
        <f t="shared" si="5"/>
        <v>1068430</v>
      </c>
      <c r="BF169" s="82"/>
      <c r="BG169" s="132" t="s">
        <v>15</v>
      </c>
      <c r="BH169" s="132" t="s">
        <v>15</v>
      </c>
      <c r="BI169" s="104" t="str">
        <f>IF(ISBLANK($BG169),"-",(IF(BD169="-","-",BD169*(Lists!$K$10/100))))</f>
        <v>-</v>
      </c>
      <c r="BJ169" s="104" t="str">
        <f>IF(ISBLANK($BH169),"-",(IF(BD169="-","-",BD169*(Lists!$K$11/100))))</f>
        <v>-</v>
      </c>
      <c r="BK169" s="104">
        <f>IF(ISBLANK($BG169),"-",(IF(BE169="-","-",BE169*(Lists!$K$10/100))))</f>
        <v>160264.5</v>
      </c>
      <c r="BL169" s="104">
        <f>IF(ISBLANK($BH169),"-",(IF(BE169="-","-",BE169*(Lists!$K$11/100))))</f>
        <v>106843</v>
      </c>
      <c r="BM169" s="132" t="s">
        <v>15</v>
      </c>
      <c r="BN169" s="156"/>
      <c r="BO169" s="104">
        <f>IF(ISBLANK(BM169),"-",((Lists!$K$19/100)*(IF(BD169&lt;&gt;"-",BD169,BE169))))</f>
        <v>5342.1500000000005</v>
      </c>
      <c r="BP169" s="104" t="str">
        <f>IF(ISBLANK(BN169),"-",((Lists!$K$20/100)*(IF(BD169&lt;&gt;"-",BD169,BE169))))</f>
        <v>-</v>
      </c>
    </row>
    <row r="170" spans="1:68" x14ac:dyDescent="0.25">
      <c r="A170" s="105" t="s">
        <v>91</v>
      </c>
      <c r="B170" s="128"/>
      <c r="C170" s="97" t="s">
        <v>75</v>
      </c>
      <c r="D170" s="97" t="s">
        <v>76</v>
      </c>
      <c r="E170" s="97">
        <v>605</v>
      </c>
      <c r="F170" s="97" t="s">
        <v>110</v>
      </c>
      <c r="G170" s="97">
        <v>3</v>
      </c>
      <c r="H170" s="97" t="s">
        <v>294</v>
      </c>
      <c r="I170" s="128"/>
      <c r="J170" s="96" t="s">
        <v>507</v>
      </c>
      <c r="K170" s="315"/>
      <c r="L170" s="303"/>
      <c r="M170" s="329"/>
      <c r="N170" s="329"/>
      <c r="O170" s="329"/>
      <c r="P170" s="329"/>
      <c r="Q170" s="329"/>
      <c r="R170" s="329"/>
      <c r="S170" s="329"/>
      <c r="T170" s="329"/>
      <c r="U170" s="315"/>
      <c r="V170" s="100"/>
      <c r="W170" s="100"/>
      <c r="X170" s="100"/>
      <c r="Y170" s="100"/>
      <c r="Z170" s="100"/>
      <c r="AA170" s="100"/>
      <c r="AB170" s="100"/>
      <c r="AC170" s="100"/>
      <c r="AD170" s="100"/>
      <c r="AE170" s="100"/>
      <c r="AF170" s="100"/>
      <c r="AG170" s="100"/>
      <c r="AH170" s="100"/>
      <c r="AI170" s="100"/>
      <c r="AJ170" s="100"/>
      <c r="AK170" s="100"/>
      <c r="AL170" s="100"/>
      <c r="AM170" s="100"/>
      <c r="AN170" s="100"/>
      <c r="AO170" s="100"/>
      <c r="AP170" s="100"/>
      <c r="AQ170" s="100"/>
      <c r="AR170" s="100"/>
      <c r="AS170" s="100"/>
      <c r="AT170" s="100" t="s">
        <v>299</v>
      </c>
      <c r="AU170" s="100"/>
      <c r="AV170" s="100"/>
      <c r="AW170" s="100"/>
      <c r="AX170" s="100"/>
      <c r="AY170" s="100"/>
      <c r="AZ170" s="100"/>
      <c r="BA170" s="100"/>
      <c r="BB170" s="107"/>
      <c r="BC170" s="102">
        <f>IF((SUMPRODUCT(--(V170:AV170&lt;&gt;""))=0),"0",(VLOOKUP((MATCH("X",$V170:$AV170,0)), Lists!$E$13:$G$39,3)))</f>
        <v>20000</v>
      </c>
      <c r="BD170" s="103">
        <f t="shared" si="4"/>
        <v>60000</v>
      </c>
      <c r="BE170" s="103" t="str">
        <f t="shared" si="5"/>
        <v>-</v>
      </c>
      <c r="BF170" s="82"/>
      <c r="BG170" s="132" t="s">
        <v>15</v>
      </c>
      <c r="BH170" s="132" t="s">
        <v>15</v>
      </c>
      <c r="BI170" s="104">
        <f>IF(ISBLANK($BG170),"-",(IF(BD170="-","-",BD170*(Lists!$K$10/100))))</f>
        <v>9000</v>
      </c>
      <c r="BJ170" s="104">
        <f>IF(ISBLANK($BH170),"-",(IF(BD170="-","-",BD170*(Lists!$K$11/100))))</f>
        <v>6000</v>
      </c>
      <c r="BK170" s="104" t="str">
        <f>IF(ISBLANK($BG170),"-",(IF(BE170="-","-",BE170*(Lists!$K$10/100))))</f>
        <v>-</v>
      </c>
      <c r="BL170" s="104" t="str">
        <f>IF(ISBLANK($BH170),"-",(IF(BE170="-","-",BE170*(Lists!$K$11/100))))</f>
        <v>-</v>
      </c>
      <c r="BM170" s="132" t="s">
        <v>15</v>
      </c>
      <c r="BN170" s="156"/>
      <c r="BO170" s="104">
        <f>IF(ISBLANK(BM170),"-",((Lists!$K$19/100)*(IF(BD170&lt;&gt;"-",BD170,BE170))))</f>
        <v>300</v>
      </c>
      <c r="BP170" s="104" t="str">
        <f>IF(ISBLANK(BN170),"-",((Lists!$K$20/100)*(IF(BD170&lt;&gt;"-",BD170,BE170))))</f>
        <v>-</v>
      </c>
    </row>
    <row r="171" spans="1:68" x14ac:dyDescent="0.25">
      <c r="A171" s="105" t="s">
        <v>91</v>
      </c>
      <c r="B171" s="128"/>
      <c r="C171" s="97" t="s">
        <v>75</v>
      </c>
      <c r="D171" s="97" t="s">
        <v>76</v>
      </c>
      <c r="E171" s="97">
        <v>605</v>
      </c>
      <c r="F171" s="97" t="s">
        <v>110</v>
      </c>
      <c r="G171" s="97">
        <v>605</v>
      </c>
      <c r="H171" s="97" t="s">
        <v>295</v>
      </c>
      <c r="I171" s="128"/>
      <c r="J171" s="96" t="s">
        <v>426</v>
      </c>
      <c r="K171" s="316"/>
      <c r="L171" s="304"/>
      <c r="M171" s="306"/>
      <c r="N171" s="306"/>
      <c r="O171" s="306"/>
      <c r="P171" s="306"/>
      <c r="Q171" s="306"/>
      <c r="R171" s="306"/>
      <c r="S171" s="306"/>
      <c r="T171" s="306"/>
      <c r="U171" s="304"/>
      <c r="V171" s="100"/>
      <c r="W171" s="100"/>
      <c r="X171" s="100"/>
      <c r="Y171" s="100"/>
      <c r="Z171" s="100"/>
      <c r="AA171" s="100"/>
      <c r="AB171" s="100"/>
      <c r="AC171" s="100"/>
      <c r="AD171" s="100"/>
      <c r="AE171" s="100"/>
      <c r="AF171" s="100"/>
      <c r="AG171" s="100"/>
      <c r="AH171" s="100"/>
      <c r="AI171" s="100"/>
      <c r="AJ171" s="100"/>
      <c r="AK171" s="100"/>
      <c r="AL171" s="100"/>
      <c r="AM171" s="100" t="s">
        <v>299</v>
      </c>
      <c r="AN171" s="100"/>
      <c r="AO171" s="100"/>
      <c r="AP171" s="100"/>
      <c r="AQ171" s="100"/>
      <c r="AR171" s="100"/>
      <c r="AS171" s="100"/>
      <c r="AT171" s="100"/>
      <c r="AU171" s="100"/>
      <c r="AV171" s="100"/>
      <c r="AW171" s="100"/>
      <c r="AX171" s="100"/>
      <c r="AY171" s="100"/>
      <c r="AZ171" s="100"/>
      <c r="BA171" s="100"/>
      <c r="BB171" s="107"/>
      <c r="BC171" s="102">
        <f>IF((SUMPRODUCT(--(V171:AV171&lt;&gt;""))=0),"0",(VLOOKUP((MATCH("X",$V171:$AV171,0)), Lists!$E$13:$G$39,3)))</f>
        <v>50</v>
      </c>
      <c r="BD171" s="103">
        <f t="shared" si="4"/>
        <v>30250</v>
      </c>
      <c r="BE171" s="103" t="str">
        <f t="shared" si="5"/>
        <v>-</v>
      </c>
      <c r="BF171" s="82"/>
      <c r="BG171" s="132" t="s">
        <v>15</v>
      </c>
      <c r="BH171" s="132" t="s">
        <v>15</v>
      </c>
      <c r="BI171" s="104">
        <f>IF(ISBLANK($BG171),"-",(IF(BD171="-","-",BD171*(Lists!$K$10/100))))</f>
        <v>4537.5</v>
      </c>
      <c r="BJ171" s="104">
        <f>IF(ISBLANK($BH171),"-",(IF(BD171="-","-",BD171*(Lists!$K$11/100))))</f>
        <v>3025</v>
      </c>
      <c r="BK171" s="104" t="str">
        <f>IF(ISBLANK($BG171),"-",(IF(BE171="-","-",BE171*(Lists!$K$10/100))))</f>
        <v>-</v>
      </c>
      <c r="BL171" s="104" t="str">
        <f>IF(ISBLANK($BH171),"-",(IF(BE171="-","-",BE171*(Lists!$K$11/100))))</f>
        <v>-</v>
      </c>
      <c r="BM171" s="132" t="s">
        <v>15</v>
      </c>
      <c r="BN171" s="156"/>
      <c r="BO171" s="104">
        <f>IF(ISBLANK(BM171),"-",((Lists!$K$19/100)*(IF(BD171&lt;&gt;"-",BD171,BE171))))</f>
        <v>151.25</v>
      </c>
      <c r="BP171" s="104" t="str">
        <f>IF(ISBLANK(BN171),"-",((Lists!$K$20/100)*(IF(BD171&lt;&gt;"-",BD171,BE171))))</f>
        <v>-</v>
      </c>
    </row>
    <row r="172" spans="1:68" ht="38.25" x14ac:dyDescent="0.25">
      <c r="A172" s="105" t="s">
        <v>91</v>
      </c>
      <c r="B172" s="128"/>
      <c r="C172" s="97" t="s">
        <v>76</v>
      </c>
      <c r="D172" s="97" t="s">
        <v>77</v>
      </c>
      <c r="E172" s="97">
        <v>635</v>
      </c>
      <c r="F172" s="97" t="s">
        <v>110</v>
      </c>
      <c r="G172" s="97">
        <v>635</v>
      </c>
      <c r="H172" s="97" t="s">
        <v>295</v>
      </c>
      <c r="I172" s="128"/>
      <c r="J172" s="96" t="s">
        <v>694</v>
      </c>
      <c r="K172" s="96" t="s">
        <v>335</v>
      </c>
      <c r="L172" s="80"/>
      <c r="M172" s="129"/>
      <c r="N172" s="129"/>
      <c r="O172" s="129"/>
      <c r="P172" s="129"/>
      <c r="Q172" s="129"/>
      <c r="R172" s="129"/>
      <c r="S172" s="129"/>
      <c r="T172" s="129"/>
      <c r="U172" s="96" t="s">
        <v>182</v>
      </c>
      <c r="V172" s="100"/>
      <c r="W172" s="100"/>
      <c r="X172" s="100"/>
      <c r="Y172" s="100"/>
      <c r="Z172" s="100"/>
      <c r="AA172" s="100"/>
      <c r="AB172" s="100" t="s">
        <v>299</v>
      </c>
      <c r="AC172" s="100"/>
      <c r="AD172" s="100"/>
      <c r="AE172" s="100"/>
      <c r="AF172" s="100"/>
      <c r="AG172" s="100"/>
      <c r="AH172" s="100"/>
      <c r="AI172" s="100"/>
      <c r="AJ172" s="100"/>
      <c r="AK172" s="100"/>
      <c r="AL172" s="100"/>
      <c r="AM172" s="100"/>
      <c r="AN172" s="100"/>
      <c r="AO172" s="100"/>
      <c r="AP172" s="100"/>
      <c r="AQ172" s="100"/>
      <c r="AR172" s="100"/>
      <c r="AS172" s="100"/>
      <c r="AT172" s="100"/>
      <c r="AU172" s="100"/>
      <c r="AV172" s="100"/>
      <c r="AW172" s="100"/>
      <c r="AX172" s="100"/>
      <c r="AY172" s="100"/>
      <c r="AZ172" s="100"/>
      <c r="BA172" s="100"/>
      <c r="BB172" s="107"/>
      <c r="BC172" s="102">
        <f>IF((SUMPRODUCT(--(V172:AV172&lt;&gt;""))=0),"0",(VLOOKUP((MATCH("X",$V172:$AV172,0)), Lists!$E$13:$G$39,3)))</f>
        <v>188</v>
      </c>
      <c r="BD172" s="103">
        <f t="shared" si="4"/>
        <v>119380</v>
      </c>
      <c r="BE172" s="103" t="str">
        <f t="shared" si="5"/>
        <v>-</v>
      </c>
      <c r="BF172" s="82"/>
      <c r="BG172" s="132" t="s">
        <v>15</v>
      </c>
      <c r="BH172" s="132" t="s">
        <v>15</v>
      </c>
      <c r="BI172" s="104">
        <f>IF(ISBLANK($BG172),"-",(IF(BD172="-","-",BD172*(Lists!$K$10/100))))</f>
        <v>17907</v>
      </c>
      <c r="BJ172" s="104">
        <f>IF(ISBLANK($BH172),"-",(IF(BD172="-","-",BD172*(Lists!$K$11/100))))</f>
        <v>11938</v>
      </c>
      <c r="BK172" s="104" t="str">
        <f>IF(ISBLANK($BG172),"-",(IF(BE172="-","-",BE172*(Lists!$K$10/100))))</f>
        <v>-</v>
      </c>
      <c r="BL172" s="104" t="str">
        <f>IF(ISBLANK($BH172),"-",(IF(BE172="-","-",BE172*(Lists!$K$11/100))))</f>
        <v>-</v>
      </c>
      <c r="BM172" s="129"/>
      <c r="BN172" s="98" t="s">
        <v>15</v>
      </c>
      <c r="BO172" s="104" t="str">
        <f>IF(ISBLANK(BM172),"-",((Lists!$K$19/100)*(IF(BD172&lt;&gt;"-",BD172,BE172))))</f>
        <v>-</v>
      </c>
      <c r="BP172" s="104">
        <f>IF(ISBLANK(BN172),"-",((Lists!$K$20/100)*(IF(BD172&lt;&gt;"-",BD172,BE172))))</f>
        <v>5969</v>
      </c>
    </row>
    <row r="173" spans="1:68" ht="25.5" x14ac:dyDescent="0.25">
      <c r="A173" s="105" t="s">
        <v>91</v>
      </c>
      <c r="B173" s="128"/>
      <c r="C173" s="97" t="s">
        <v>621</v>
      </c>
      <c r="D173" s="97" t="s">
        <v>621</v>
      </c>
      <c r="E173" s="97" t="s">
        <v>110</v>
      </c>
      <c r="F173" s="97" t="s">
        <v>110</v>
      </c>
      <c r="G173" s="97">
        <v>1</v>
      </c>
      <c r="H173" s="97" t="s">
        <v>294</v>
      </c>
      <c r="I173" s="128"/>
      <c r="J173" s="96" t="s">
        <v>603</v>
      </c>
      <c r="K173" s="96" t="s">
        <v>335</v>
      </c>
      <c r="L173" s="80"/>
      <c r="M173" s="129"/>
      <c r="N173" s="129"/>
      <c r="O173" s="129"/>
      <c r="P173" s="129"/>
      <c r="Q173" s="129"/>
      <c r="R173" s="129"/>
      <c r="S173" s="129"/>
      <c r="T173" s="129"/>
      <c r="U173" s="96"/>
      <c r="V173" s="100"/>
      <c r="W173" s="100"/>
      <c r="X173" s="100"/>
      <c r="Y173" s="100"/>
      <c r="Z173" s="100"/>
      <c r="AA173" s="100"/>
      <c r="AB173" s="100"/>
      <c r="AC173" s="100"/>
      <c r="AD173" s="100"/>
      <c r="AE173" s="100"/>
      <c r="AF173" s="100"/>
      <c r="AG173" s="100"/>
      <c r="AH173" s="100"/>
      <c r="AI173" s="100"/>
      <c r="AJ173" s="100"/>
      <c r="AK173" s="100"/>
      <c r="AL173" s="100"/>
      <c r="AM173" s="100"/>
      <c r="AN173" s="100"/>
      <c r="AO173" s="100"/>
      <c r="AP173" s="100"/>
      <c r="AQ173" s="100"/>
      <c r="AR173" s="100"/>
      <c r="AS173" s="100"/>
      <c r="AT173" s="100"/>
      <c r="AU173" s="100"/>
      <c r="AV173" s="100"/>
      <c r="AW173" s="100"/>
      <c r="AX173" s="100"/>
      <c r="AY173" s="100"/>
      <c r="AZ173" s="100"/>
      <c r="BA173" s="100" t="s">
        <v>299</v>
      </c>
      <c r="BB173" s="107">
        <v>5500</v>
      </c>
      <c r="BC173" s="102" t="str">
        <f>IF((SUMPRODUCT(--(V173:AV173&lt;&gt;""))=0),"0",(VLOOKUP((MATCH("X",$V173:$AV173,0)), Lists!$E$13:$G$39,3)))</f>
        <v>0</v>
      </c>
      <c r="BD173" s="103" t="str">
        <f t="shared" si="4"/>
        <v>-</v>
      </c>
      <c r="BE173" s="103">
        <f t="shared" si="5"/>
        <v>5500</v>
      </c>
      <c r="BF173" s="128" t="s">
        <v>670</v>
      </c>
      <c r="BG173" s="132" t="s">
        <v>15</v>
      </c>
      <c r="BH173" s="132" t="s">
        <v>15</v>
      </c>
      <c r="BI173" s="104" t="str">
        <f>IF(ISBLANK($BG173),"-",(IF(BD173="-","-",BD173*(Lists!$K$10/100))))</f>
        <v>-</v>
      </c>
      <c r="BJ173" s="104" t="str">
        <f>IF(ISBLANK($BH173),"-",(IF(BD173="-","-",BD173*(Lists!$K$11/100))))</f>
        <v>-</v>
      </c>
      <c r="BK173" s="104">
        <f>IF(ISBLANK($BG173),"-",(IF(BE173="-","-",BE173*(Lists!$K$10/100))))</f>
        <v>825</v>
      </c>
      <c r="BL173" s="104">
        <f>IF(ISBLANK($BH173),"-",(IF(BE173="-","-",BE173*(Lists!$K$11/100))))</f>
        <v>550</v>
      </c>
      <c r="BM173" s="129"/>
      <c r="BN173" s="98" t="s">
        <v>15</v>
      </c>
      <c r="BO173" s="104" t="str">
        <f>IF(ISBLANK(BM173),"-",((Lists!$K$19/100)*(IF(BD173&lt;&gt;"-",BD173,BE173))))</f>
        <v>-</v>
      </c>
      <c r="BP173" s="104">
        <f>IF(ISBLANK(BN173),"-",((Lists!$K$20/100)*(IF(BD173&lt;&gt;"-",BD173,BE173))))</f>
        <v>275</v>
      </c>
    </row>
    <row r="174" spans="1:68" ht="83.25" customHeight="1" x14ac:dyDescent="0.25">
      <c r="A174" s="130" t="s">
        <v>91</v>
      </c>
      <c r="B174" s="130"/>
      <c r="C174" s="150" t="s">
        <v>77</v>
      </c>
      <c r="D174" s="150" t="s">
        <v>79</v>
      </c>
      <c r="E174" s="150">
        <v>2570</v>
      </c>
      <c r="F174" s="150" t="s">
        <v>110</v>
      </c>
      <c r="G174" s="97">
        <v>2570</v>
      </c>
      <c r="H174" s="97" t="s">
        <v>295</v>
      </c>
      <c r="I174" s="128"/>
      <c r="J174" s="96" t="s">
        <v>425</v>
      </c>
      <c r="K174" s="141" t="s">
        <v>350</v>
      </c>
      <c r="L174" s="186"/>
      <c r="M174" s="133"/>
      <c r="N174" s="133"/>
      <c r="O174" s="133"/>
      <c r="P174" s="133"/>
      <c r="Q174" s="133"/>
      <c r="R174" s="133"/>
      <c r="S174" s="133"/>
      <c r="T174" s="133"/>
      <c r="U174" s="141" t="s">
        <v>712</v>
      </c>
      <c r="V174" s="100"/>
      <c r="W174" s="100"/>
      <c r="X174" s="100"/>
      <c r="Y174" s="100"/>
      <c r="Z174" s="100"/>
      <c r="AA174" s="100"/>
      <c r="AB174" s="100"/>
      <c r="AC174" s="100"/>
      <c r="AD174" s="100"/>
      <c r="AE174" s="100"/>
      <c r="AF174" s="100"/>
      <c r="AG174" s="100"/>
      <c r="AH174" s="100"/>
      <c r="AI174" s="100"/>
      <c r="AJ174" s="100"/>
      <c r="AK174" s="100"/>
      <c r="AL174" s="100"/>
      <c r="AM174" s="100"/>
      <c r="AN174" s="100"/>
      <c r="AO174" s="100"/>
      <c r="AP174" s="100" t="s">
        <v>299</v>
      </c>
      <c r="AQ174" s="100"/>
      <c r="AR174" s="100"/>
      <c r="AS174" s="100"/>
      <c r="AT174" s="100"/>
      <c r="AU174" s="100"/>
      <c r="AV174" s="100"/>
      <c r="AW174" s="100"/>
      <c r="AX174" s="100"/>
      <c r="AY174" s="100"/>
      <c r="AZ174" s="100"/>
      <c r="BA174" s="100"/>
      <c r="BB174" s="107"/>
      <c r="BC174" s="102">
        <f>IF((SUMPRODUCT(--(V174:AV174&lt;&gt;""))=0),"0",(VLOOKUP((MATCH("X",$V174:$AV174,0)), Lists!$E$13:$G$39,3)))</f>
        <v>175</v>
      </c>
      <c r="BD174" s="103">
        <f t="shared" si="4"/>
        <v>449750</v>
      </c>
      <c r="BE174" s="103" t="str">
        <f t="shared" si="5"/>
        <v>-</v>
      </c>
      <c r="BF174" s="82"/>
      <c r="BG174" s="132" t="s">
        <v>15</v>
      </c>
      <c r="BH174" s="132" t="s">
        <v>15</v>
      </c>
      <c r="BI174" s="104">
        <f>IF(ISBLANK($BG174),"-",(IF(BD174="-","-",BD174*(Lists!$K$10/100))))</f>
        <v>67462.5</v>
      </c>
      <c r="BJ174" s="104">
        <f>IF(ISBLANK($BH174),"-",(IF(BD174="-","-",BD174*(Lists!$K$11/100))))</f>
        <v>44975</v>
      </c>
      <c r="BK174" s="104" t="str">
        <f>IF(ISBLANK($BG174),"-",(IF(BE174="-","-",BE174*(Lists!$K$10/100))))</f>
        <v>-</v>
      </c>
      <c r="BL174" s="104" t="str">
        <f>IF(ISBLANK($BH174),"-",(IF(BE174="-","-",BE174*(Lists!$K$11/100))))</f>
        <v>-</v>
      </c>
      <c r="BM174" s="133"/>
      <c r="BN174" s="98" t="s">
        <v>15</v>
      </c>
      <c r="BO174" s="104" t="str">
        <f>IF(ISBLANK(BM174),"-",((Lists!$K$19/100)*(IF(BD174&lt;&gt;"-",BD174,BE174))))</f>
        <v>-</v>
      </c>
      <c r="BP174" s="104">
        <f>IF(ISBLANK(BN174),"-",((Lists!$K$20/100)*(IF(BD174&lt;&gt;"-",BD174,BE174))))</f>
        <v>22487.5</v>
      </c>
    </row>
    <row r="175" spans="1:68" ht="51" x14ac:dyDescent="0.25">
      <c r="A175" s="105" t="s">
        <v>91</v>
      </c>
      <c r="B175" s="128"/>
      <c r="C175" s="97" t="s">
        <v>78</v>
      </c>
      <c r="D175" s="97" t="s">
        <v>54</v>
      </c>
      <c r="E175" s="97">
        <v>144</v>
      </c>
      <c r="F175" s="97" t="s">
        <v>110</v>
      </c>
      <c r="G175" s="97">
        <v>144</v>
      </c>
      <c r="H175" s="97" t="s">
        <v>295</v>
      </c>
      <c r="I175" s="128"/>
      <c r="J175" s="96" t="s">
        <v>424</v>
      </c>
      <c r="K175" s="96" t="s">
        <v>335</v>
      </c>
      <c r="L175" s="80"/>
      <c r="M175" s="129"/>
      <c r="N175" s="129"/>
      <c r="O175" s="129"/>
      <c r="P175" s="129"/>
      <c r="Q175" s="129" t="s">
        <v>15</v>
      </c>
      <c r="R175" s="129" t="s">
        <v>15</v>
      </c>
      <c r="S175" s="129" t="s">
        <v>15</v>
      </c>
      <c r="T175" s="129" t="s">
        <v>15</v>
      </c>
      <c r="U175" s="96" t="s">
        <v>432</v>
      </c>
      <c r="V175" s="100"/>
      <c r="W175" s="100"/>
      <c r="X175" s="100"/>
      <c r="Y175" s="100"/>
      <c r="Z175" s="100"/>
      <c r="AA175" s="100"/>
      <c r="AB175" s="100"/>
      <c r="AC175" s="100"/>
      <c r="AD175" s="100"/>
      <c r="AE175" s="100"/>
      <c r="AF175" s="100"/>
      <c r="AG175" s="100"/>
      <c r="AH175" s="100"/>
      <c r="AI175" s="100"/>
      <c r="AJ175" s="100"/>
      <c r="AK175" s="100"/>
      <c r="AL175" s="100"/>
      <c r="AM175" s="100"/>
      <c r="AN175" s="100"/>
      <c r="AO175" s="100"/>
      <c r="AP175" s="100" t="s">
        <v>299</v>
      </c>
      <c r="AQ175" s="100"/>
      <c r="AR175" s="100"/>
      <c r="AS175" s="100"/>
      <c r="AT175" s="100"/>
      <c r="AU175" s="100"/>
      <c r="AV175" s="100"/>
      <c r="AW175" s="100"/>
      <c r="AX175" s="100"/>
      <c r="AY175" s="100"/>
      <c r="AZ175" s="100"/>
      <c r="BA175" s="100"/>
      <c r="BB175" s="107"/>
      <c r="BC175" s="102">
        <f>IF((SUMPRODUCT(--(V175:AV175&lt;&gt;""))=0),"0",(VLOOKUP((MATCH("X",$V175:$AV175,0)), Lists!$E$13:$G$39,3)))</f>
        <v>175</v>
      </c>
      <c r="BD175" s="103">
        <f t="shared" si="4"/>
        <v>25200</v>
      </c>
      <c r="BE175" s="103" t="str">
        <f t="shared" si="5"/>
        <v>-</v>
      </c>
      <c r="BF175" s="82"/>
      <c r="BG175" s="132" t="s">
        <v>15</v>
      </c>
      <c r="BH175" s="132" t="s">
        <v>15</v>
      </c>
      <c r="BI175" s="104">
        <f>IF(ISBLANK($BG175),"-",(IF(BD175="-","-",BD175*(Lists!$K$10/100))))</f>
        <v>3780</v>
      </c>
      <c r="BJ175" s="104">
        <f>IF(ISBLANK($BH175),"-",(IF(BD175="-","-",BD175*(Lists!$K$11/100))))</f>
        <v>2520</v>
      </c>
      <c r="BK175" s="104" t="str">
        <f>IF(ISBLANK($BG175),"-",(IF(BE175="-","-",BE175*(Lists!$K$10/100))))</f>
        <v>-</v>
      </c>
      <c r="BL175" s="104" t="str">
        <f>IF(ISBLANK($BH175),"-",(IF(BE175="-","-",BE175*(Lists!$K$11/100))))</f>
        <v>-</v>
      </c>
      <c r="BM175" s="129"/>
      <c r="BN175" s="98" t="s">
        <v>15</v>
      </c>
      <c r="BO175" s="104" t="str">
        <f>IF(ISBLANK(BM175),"-",((Lists!$K$19/100)*(IF(BD175&lt;&gt;"-",BD175,BE175))))</f>
        <v>-</v>
      </c>
      <c r="BP175" s="104">
        <f>IF(ISBLANK(BN175),"-",((Lists!$K$20/100)*(IF(BD175&lt;&gt;"-",BD175,BE175))))</f>
        <v>1260</v>
      </c>
    </row>
    <row r="176" spans="1:68" ht="38.25" x14ac:dyDescent="0.25">
      <c r="A176" s="105" t="s">
        <v>91</v>
      </c>
      <c r="B176" s="128"/>
      <c r="C176" s="97" t="s">
        <v>79</v>
      </c>
      <c r="D176" s="97" t="s">
        <v>81</v>
      </c>
      <c r="E176" s="97">
        <v>808</v>
      </c>
      <c r="F176" s="97">
        <v>5.75</v>
      </c>
      <c r="G176" s="97">
        <f>E176*F176</f>
        <v>4646</v>
      </c>
      <c r="H176" s="97" t="s">
        <v>300</v>
      </c>
      <c r="I176" s="128"/>
      <c r="J176" s="96" t="s">
        <v>423</v>
      </c>
      <c r="K176" s="96" t="s">
        <v>429</v>
      </c>
      <c r="L176" s="80"/>
      <c r="M176" s="129"/>
      <c r="N176" s="129"/>
      <c r="O176" s="129"/>
      <c r="P176" s="129"/>
      <c r="Q176" s="129"/>
      <c r="R176" s="129" t="s">
        <v>15</v>
      </c>
      <c r="S176" s="129" t="s">
        <v>15</v>
      </c>
      <c r="T176" s="129" t="s">
        <v>15</v>
      </c>
      <c r="U176" s="96" t="s">
        <v>433</v>
      </c>
      <c r="V176" s="100"/>
      <c r="W176" s="100"/>
      <c r="X176" s="100"/>
      <c r="Y176" s="100"/>
      <c r="Z176" s="100"/>
      <c r="AA176" s="100"/>
      <c r="AB176" s="100"/>
      <c r="AC176" s="100"/>
      <c r="AD176" s="100"/>
      <c r="AE176" s="100"/>
      <c r="AF176" s="100"/>
      <c r="AG176" s="100"/>
      <c r="AH176" s="100"/>
      <c r="AI176" s="100" t="s">
        <v>299</v>
      </c>
      <c r="AJ176" s="100"/>
      <c r="AK176" s="100"/>
      <c r="AL176" s="100"/>
      <c r="AM176" s="100"/>
      <c r="AN176" s="100"/>
      <c r="AO176" s="100"/>
      <c r="AP176" s="100"/>
      <c r="AQ176" s="100"/>
      <c r="AR176" s="100"/>
      <c r="AS176" s="100"/>
      <c r="AT176" s="100"/>
      <c r="AU176" s="100"/>
      <c r="AV176" s="100"/>
      <c r="AW176" s="100"/>
      <c r="AX176" s="100"/>
      <c r="AY176" s="100"/>
      <c r="AZ176" s="100"/>
      <c r="BA176" s="100"/>
      <c r="BB176" s="107"/>
      <c r="BC176" s="102">
        <f>IF((SUMPRODUCT(--(V176:AV176&lt;&gt;""))=0),"0",(VLOOKUP((MATCH("X",$V176:$AV176,0)), Lists!$E$13:$G$39,3)))</f>
        <v>65</v>
      </c>
      <c r="BD176" s="103">
        <f t="shared" si="4"/>
        <v>301990</v>
      </c>
      <c r="BE176" s="103" t="str">
        <f t="shared" si="5"/>
        <v>-</v>
      </c>
      <c r="BF176" s="82"/>
      <c r="BG176" s="132" t="s">
        <v>15</v>
      </c>
      <c r="BH176" s="132" t="s">
        <v>15</v>
      </c>
      <c r="BI176" s="104">
        <f>IF(ISBLANK($BG176),"-",(IF(BD176="-","-",BD176*(Lists!$K$10/100))))</f>
        <v>45298.5</v>
      </c>
      <c r="BJ176" s="104">
        <f>IF(ISBLANK($BH176),"-",(IF(BD176="-","-",BD176*(Lists!$K$11/100))))</f>
        <v>30199</v>
      </c>
      <c r="BK176" s="104" t="str">
        <f>IF(ISBLANK($BG176),"-",(IF(BE176="-","-",BE176*(Lists!$K$10/100))))</f>
        <v>-</v>
      </c>
      <c r="BL176" s="104" t="str">
        <f>IF(ISBLANK($BH176),"-",(IF(BE176="-","-",BE176*(Lists!$K$11/100))))</f>
        <v>-</v>
      </c>
      <c r="BM176" s="129"/>
      <c r="BN176" s="98" t="s">
        <v>15</v>
      </c>
      <c r="BO176" s="104" t="str">
        <f>IF(ISBLANK(BM176),"-",((Lists!$K$19/100)*(IF(BD176&lt;&gt;"-",BD176,BE176))))</f>
        <v>-</v>
      </c>
      <c r="BP176" s="104">
        <f>IF(ISBLANK(BN176),"-",((Lists!$K$20/100)*(IF(BD176&lt;&gt;"-",BD176,BE176))))</f>
        <v>15099.5</v>
      </c>
    </row>
    <row r="177" spans="1:68" ht="38.25" x14ac:dyDescent="0.25">
      <c r="A177" s="94" t="s">
        <v>91</v>
      </c>
      <c r="B177" s="82"/>
      <c r="C177" s="79" t="s">
        <v>81</v>
      </c>
      <c r="D177" s="160" t="s">
        <v>35</v>
      </c>
      <c r="E177" s="79">
        <v>116</v>
      </c>
      <c r="F177" s="79" t="s">
        <v>110</v>
      </c>
      <c r="G177" s="79">
        <v>116</v>
      </c>
      <c r="H177" s="79" t="s">
        <v>295</v>
      </c>
      <c r="I177" s="82"/>
      <c r="J177" s="161" t="s">
        <v>141</v>
      </c>
      <c r="K177" s="96" t="s">
        <v>429</v>
      </c>
      <c r="L177" s="97">
        <v>30</v>
      </c>
      <c r="M177" s="129"/>
      <c r="N177" s="129"/>
      <c r="O177" s="129"/>
      <c r="P177" s="129"/>
      <c r="Q177" s="129"/>
      <c r="R177" s="129"/>
      <c r="S177" s="129"/>
      <c r="T177" s="129"/>
      <c r="U177" s="96" t="s">
        <v>386</v>
      </c>
      <c r="V177" s="100"/>
      <c r="W177" s="100"/>
      <c r="X177" s="100"/>
      <c r="Y177" s="100"/>
      <c r="Z177" s="100"/>
      <c r="AA177" s="100"/>
      <c r="AB177" s="100"/>
      <c r="AC177" s="100"/>
      <c r="AD177" s="100"/>
      <c r="AE177" s="100"/>
      <c r="AF177" s="100"/>
      <c r="AG177" s="100" t="s">
        <v>299</v>
      </c>
      <c r="AH177" s="100"/>
      <c r="AI177" s="100"/>
      <c r="AJ177" s="100"/>
      <c r="AK177" s="100"/>
      <c r="AL177" s="100"/>
      <c r="AM177" s="100"/>
      <c r="AN177" s="100"/>
      <c r="AO177" s="100"/>
      <c r="AP177" s="100"/>
      <c r="AQ177" s="100"/>
      <c r="AR177" s="100"/>
      <c r="AS177" s="100"/>
      <c r="AT177" s="100"/>
      <c r="AU177" s="100"/>
      <c r="AV177" s="100"/>
      <c r="AW177" s="100"/>
      <c r="AX177" s="100"/>
      <c r="AY177" s="100"/>
      <c r="AZ177" s="100"/>
      <c r="BA177" s="100"/>
      <c r="BB177" s="107"/>
      <c r="BC177" s="102">
        <f>IF((SUMPRODUCT(--(V177:AV177&lt;&gt;""))=0),"0",(VLOOKUP((MATCH("X",$V177:$AV177,0)), Lists!$E$13:$G$39,3)))</f>
        <v>295</v>
      </c>
      <c r="BD177" s="103">
        <f t="shared" si="4"/>
        <v>34220</v>
      </c>
      <c r="BE177" s="103" t="str">
        <f t="shared" si="5"/>
        <v>-</v>
      </c>
      <c r="BF177" s="82"/>
      <c r="BG177" s="98" t="s">
        <v>15</v>
      </c>
      <c r="BH177" s="98" t="s">
        <v>15</v>
      </c>
      <c r="BI177" s="104">
        <f>IF(ISBLANK($BG177),"-",(IF(BD177="-","-",BD177*(Lists!$K$10/100))))</f>
        <v>5133</v>
      </c>
      <c r="BJ177" s="104">
        <f>IF(ISBLANK($BH177),"-",(IF(BD177="-","-",BD177*(Lists!$K$11/100))))</f>
        <v>3422</v>
      </c>
      <c r="BK177" s="104" t="str">
        <f>IF(ISBLANK($BG177),"-",(IF(BE177="-","-",BE177*(Lists!$K$10/100))))</f>
        <v>-</v>
      </c>
      <c r="BL177" s="104" t="str">
        <f>IF(ISBLANK($BH177),"-",(IF(BE177="-","-",BE177*(Lists!$K$11/100))))</f>
        <v>-</v>
      </c>
      <c r="BM177" s="129"/>
      <c r="BN177" s="98" t="s">
        <v>15</v>
      </c>
      <c r="BO177" s="104" t="str">
        <f>IF(ISBLANK(BM177),"-",((Lists!$K$19/100)*(IF(BD177&lt;&gt;"-",BD177,BE177))))</f>
        <v>-</v>
      </c>
      <c r="BP177" s="104">
        <f>IF(ISBLANK(BN177),"-",((Lists!$K$20/100)*(IF(BD177&lt;&gt;"-",BD177,BE177))))</f>
        <v>1711</v>
      </c>
    </row>
    <row r="178" spans="1:68" x14ac:dyDescent="0.25">
      <c r="A178" s="105" t="s">
        <v>87</v>
      </c>
      <c r="B178" s="128"/>
      <c r="C178" s="97" t="s">
        <v>110</v>
      </c>
      <c r="D178" s="97" t="s">
        <v>110</v>
      </c>
      <c r="E178" s="97" t="s">
        <v>110</v>
      </c>
      <c r="F178" s="97" t="s">
        <v>110</v>
      </c>
      <c r="G178" s="97">
        <v>17</v>
      </c>
      <c r="H178" s="97" t="s">
        <v>294</v>
      </c>
      <c r="I178" s="128"/>
      <c r="J178" s="96" t="s">
        <v>502</v>
      </c>
      <c r="K178" s="96" t="s">
        <v>501</v>
      </c>
      <c r="L178" s="80"/>
      <c r="M178" s="129"/>
      <c r="N178" s="129"/>
      <c r="O178" s="129"/>
      <c r="P178" s="129"/>
      <c r="Q178" s="129"/>
      <c r="R178" s="129"/>
      <c r="S178" s="129"/>
      <c r="T178" s="129"/>
      <c r="U178" s="96" t="s">
        <v>553</v>
      </c>
      <c r="V178" s="100"/>
      <c r="W178" s="100"/>
      <c r="X178" s="100"/>
      <c r="Y178" s="100"/>
      <c r="Z178" s="100"/>
      <c r="AA178" s="100"/>
      <c r="AB178" s="100"/>
      <c r="AC178" s="100"/>
      <c r="AD178" s="100"/>
      <c r="AE178" s="100"/>
      <c r="AF178" s="100"/>
      <c r="AG178" s="100"/>
      <c r="AH178" s="100"/>
      <c r="AI178" s="100"/>
      <c r="AJ178" s="100"/>
      <c r="AK178" s="100"/>
      <c r="AL178" s="100"/>
      <c r="AM178" s="100"/>
      <c r="AN178" s="100"/>
      <c r="AO178" s="100"/>
      <c r="AP178" s="100"/>
      <c r="AQ178" s="100"/>
      <c r="AR178" s="100"/>
      <c r="AS178" s="100" t="s">
        <v>299</v>
      </c>
      <c r="AT178" s="100"/>
      <c r="AU178" s="100"/>
      <c r="AV178" s="100"/>
      <c r="AW178" s="100"/>
      <c r="AX178" s="100"/>
      <c r="AY178" s="100"/>
      <c r="AZ178" s="100"/>
      <c r="BA178" s="100"/>
      <c r="BB178" s="107"/>
      <c r="BC178" s="102">
        <f>IF((SUMPRODUCT(--(V178:AV178&lt;&gt;""))=0),"0",(VLOOKUP((MATCH("X",$V178:$AV178,0)), Lists!$E$13:$G$39,3)))</f>
        <v>225</v>
      </c>
      <c r="BD178" s="103">
        <f t="shared" si="4"/>
        <v>3825</v>
      </c>
      <c r="BE178" s="103" t="str">
        <f t="shared" si="5"/>
        <v>-</v>
      </c>
      <c r="BF178" s="82"/>
      <c r="BG178" s="98"/>
      <c r="BH178" s="98"/>
      <c r="BI178" s="104" t="str">
        <f>IF(ISBLANK($BG178),"-",(IF(BD178="-","-",BD178*(Lists!$K$10/100))))</f>
        <v>-</v>
      </c>
      <c r="BJ178" s="104" t="str">
        <f>IF(ISBLANK($BH178),"-",(IF(BD178="-","-",BD178*(Lists!$K$11/100))))</f>
        <v>-</v>
      </c>
      <c r="BK178" s="104" t="str">
        <f>IF(ISBLANK($BG178),"-",(IF(BE178="-","-",BE178*(Lists!$K$10/100))))</f>
        <v>-</v>
      </c>
      <c r="BL178" s="104" t="str">
        <f>IF(ISBLANK($BH178),"-",(IF(BE178="-","-",BE178*(Lists!$K$11/100))))</f>
        <v>-</v>
      </c>
      <c r="BM178" s="129"/>
      <c r="BN178" s="98"/>
      <c r="BO178" s="104" t="str">
        <f>IF(ISBLANK(BM178),"-",((Lists!$K$19/100)*(IF(BD178&lt;&gt;"-",BD178,BE178))))</f>
        <v>-</v>
      </c>
      <c r="BP178" s="104" t="str">
        <f>IF(ISBLANK(BN178),"-",((Lists!$K$20/100)*(IF(BD178&lt;&gt;"-",BD178,BE178))))</f>
        <v>-</v>
      </c>
    </row>
    <row r="179" spans="1:68" x14ac:dyDescent="0.25">
      <c r="A179" s="105" t="s">
        <v>91</v>
      </c>
      <c r="B179" s="128"/>
      <c r="C179" s="97" t="s">
        <v>110</v>
      </c>
      <c r="D179" s="97" t="s">
        <v>110</v>
      </c>
      <c r="E179" s="97" t="s">
        <v>110</v>
      </c>
      <c r="F179" s="97" t="s">
        <v>110</v>
      </c>
      <c r="G179" s="97">
        <v>15</v>
      </c>
      <c r="H179" s="97" t="s">
        <v>294</v>
      </c>
      <c r="I179" s="128"/>
      <c r="J179" s="96" t="s">
        <v>502</v>
      </c>
      <c r="K179" s="96" t="s">
        <v>501</v>
      </c>
      <c r="L179" s="80"/>
      <c r="M179" s="129"/>
      <c r="N179" s="129"/>
      <c r="O179" s="129"/>
      <c r="P179" s="129"/>
      <c r="Q179" s="129"/>
      <c r="R179" s="129"/>
      <c r="S179" s="129"/>
      <c r="T179" s="129"/>
      <c r="U179" s="96" t="s">
        <v>553</v>
      </c>
      <c r="V179" s="100"/>
      <c r="W179" s="100"/>
      <c r="X179" s="100"/>
      <c r="Y179" s="100"/>
      <c r="Z179" s="100"/>
      <c r="AA179" s="100"/>
      <c r="AB179" s="100"/>
      <c r="AC179" s="100"/>
      <c r="AD179" s="100"/>
      <c r="AE179" s="100"/>
      <c r="AF179" s="100"/>
      <c r="AG179" s="100"/>
      <c r="AH179" s="100"/>
      <c r="AI179" s="100"/>
      <c r="AJ179" s="100"/>
      <c r="AK179" s="100"/>
      <c r="AL179" s="100"/>
      <c r="AM179" s="100"/>
      <c r="AN179" s="100"/>
      <c r="AO179" s="100"/>
      <c r="AP179" s="100"/>
      <c r="AQ179" s="100"/>
      <c r="AR179" s="100"/>
      <c r="AS179" s="100" t="s">
        <v>299</v>
      </c>
      <c r="AT179" s="100"/>
      <c r="AU179" s="100"/>
      <c r="AV179" s="100"/>
      <c r="AW179" s="100"/>
      <c r="AX179" s="100"/>
      <c r="AY179" s="100"/>
      <c r="AZ179" s="100"/>
      <c r="BA179" s="100"/>
      <c r="BB179" s="107"/>
      <c r="BC179" s="102">
        <f>IF((SUMPRODUCT(--(V179:AV179&lt;&gt;""))=0),"0",(VLOOKUP((MATCH("X",$V179:$AV179,0)), Lists!$E$13:$G$39,3)))</f>
        <v>225</v>
      </c>
      <c r="BD179" s="103">
        <f t="shared" si="4"/>
        <v>3375</v>
      </c>
      <c r="BE179" s="103" t="str">
        <f t="shared" si="5"/>
        <v>-</v>
      </c>
      <c r="BF179" s="82"/>
      <c r="BG179" s="98"/>
      <c r="BH179" s="98"/>
      <c r="BI179" s="104" t="str">
        <f>IF(ISBLANK($BG179),"-",(IF(BD179="-","-",BD179*(Lists!$K$10/100))))</f>
        <v>-</v>
      </c>
      <c r="BJ179" s="104" t="str">
        <f>IF(ISBLANK($BH179),"-",(IF(BD179="-","-",BD179*(Lists!$K$11/100))))</f>
        <v>-</v>
      </c>
      <c r="BK179" s="104" t="str">
        <f>IF(ISBLANK($BG179),"-",(IF(BE179="-","-",BE179*(Lists!$K$10/100))))</f>
        <v>-</v>
      </c>
      <c r="BL179" s="104" t="str">
        <f>IF(ISBLANK($BH179),"-",(IF(BE179="-","-",BE179*(Lists!$K$11/100))))</f>
        <v>-</v>
      </c>
      <c r="BM179" s="129"/>
      <c r="BN179" s="98"/>
      <c r="BO179" s="104" t="str">
        <f>IF(ISBLANK(BM179),"-",((Lists!$K$19/100)*(IF(BD179&lt;&gt;"-",BD179,BE179))))</f>
        <v>-</v>
      </c>
      <c r="BP179" s="104" t="str">
        <f>IF(ISBLANK(BN179),"-",((Lists!$K$20/100)*(IF(BD179&lt;&gt;"-",BD179,BE179))))</f>
        <v>-</v>
      </c>
    </row>
    <row r="180" spans="1:68" x14ac:dyDescent="0.25">
      <c r="A180" s="105" t="s">
        <v>85</v>
      </c>
      <c r="B180" s="128"/>
      <c r="C180" s="97" t="s">
        <v>110</v>
      </c>
      <c r="D180" s="97" t="s">
        <v>110</v>
      </c>
      <c r="E180" s="97" t="s">
        <v>110</v>
      </c>
      <c r="F180" s="97" t="s">
        <v>110</v>
      </c>
      <c r="G180" s="97">
        <v>22</v>
      </c>
      <c r="H180" s="97" t="s">
        <v>294</v>
      </c>
      <c r="I180" s="128"/>
      <c r="J180" s="96" t="s">
        <v>502</v>
      </c>
      <c r="K180" s="96" t="s">
        <v>501</v>
      </c>
      <c r="L180" s="80"/>
      <c r="M180" s="129"/>
      <c r="N180" s="129"/>
      <c r="O180" s="129"/>
      <c r="P180" s="129"/>
      <c r="Q180" s="129"/>
      <c r="R180" s="129"/>
      <c r="S180" s="129"/>
      <c r="T180" s="129"/>
      <c r="U180" s="96" t="s">
        <v>553</v>
      </c>
      <c r="V180" s="100"/>
      <c r="W180" s="100"/>
      <c r="X180" s="100"/>
      <c r="Y180" s="100"/>
      <c r="Z180" s="100"/>
      <c r="AA180" s="100"/>
      <c r="AB180" s="100"/>
      <c r="AC180" s="100"/>
      <c r="AD180" s="100"/>
      <c r="AE180" s="100"/>
      <c r="AF180" s="100"/>
      <c r="AG180" s="100"/>
      <c r="AH180" s="100"/>
      <c r="AI180" s="100"/>
      <c r="AJ180" s="100"/>
      <c r="AK180" s="100"/>
      <c r="AL180" s="100"/>
      <c r="AM180" s="100"/>
      <c r="AN180" s="100"/>
      <c r="AO180" s="100"/>
      <c r="AP180" s="100"/>
      <c r="AQ180" s="100"/>
      <c r="AR180" s="100"/>
      <c r="AS180" s="100" t="s">
        <v>299</v>
      </c>
      <c r="AT180" s="100"/>
      <c r="AU180" s="100"/>
      <c r="AV180" s="100"/>
      <c r="AW180" s="100"/>
      <c r="AX180" s="100"/>
      <c r="AY180" s="100"/>
      <c r="AZ180" s="100"/>
      <c r="BA180" s="100"/>
      <c r="BB180" s="107"/>
      <c r="BC180" s="102">
        <f>IF((SUMPRODUCT(--(V180:AV180&lt;&gt;""))=0),"0",(VLOOKUP((MATCH("X",$V180:$AV180,0)), Lists!$E$13:$G$39,3)))</f>
        <v>225</v>
      </c>
      <c r="BD180" s="103">
        <f t="shared" si="4"/>
        <v>4950</v>
      </c>
      <c r="BE180" s="103" t="str">
        <f t="shared" si="5"/>
        <v>-</v>
      </c>
      <c r="BF180" s="82"/>
      <c r="BG180" s="98"/>
      <c r="BH180" s="98"/>
      <c r="BI180" s="104" t="str">
        <f>IF(ISBLANK($BG180),"-",(IF(BD180="-","-",BD180*(Lists!$K$10/100))))</f>
        <v>-</v>
      </c>
      <c r="BJ180" s="104" t="str">
        <f>IF(ISBLANK($BH180),"-",(IF(BD180="-","-",BD180*(Lists!$K$11/100))))</f>
        <v>-</v>
      </c>
      <c r="BK180" s="104" t="str">
        <f>IF(ISBLANK($BG180),"-",(IF(BE180="-","-",BE180*(Lists!$K$10/100))))</f>
        <v>-</v>
      </c>
      <c r="BL180" s="104" t="str">
        <f>IF(ISBLANK($BH180),"-",(IF(BE180="-","-",BE180*(Lists!$K$11/100))))</f>
        <v>-</v>
      </c>
      <c r="BM180" s="129"/>
      <c r="BN180" s="98"/>
      <c r="BO180" s="104" t="str">
        <f>IF(ISBLANK(BM180),"-",((Lists!$K$19/100)*(IF(BD180&lt;&gt;"-",BD180,BE180))))</f>
        <v>-</v>
      </c>
      <c r="BP180" s="104" t="str">
        <f>IF(ISBLANK(BN180),"-",((Lists!$K$20/100)*(IF(BD180&lt;&gt;"-",BD180,BE180))))</f>
        <v>-</v>
      </c>
    </row>
    <row r="181" spans="1:68" ht="25.5" x14ac:dyDescent="0.25">
      <c r="A181" s="105" t="s">
        <v>88</v>
      </c>
      <c r="B181" s="128"/>
      <c r="C181" s="97" t="s">
        <v>110</v>
      </c>
      <c r="D181" s="97" t="s">
        <v>110</v>
      </c>
      <c r="E181" s="97" t="s">
        <v>110</v>
      </c>
      <c r="F181" s="97" t="s">
        <v>110</v>
      </c>
      <c r="G181" s="97">
        <v>14</v>
      </c>
      <c r="H181" s="97" t="s">
        <v>294</v>
      </c>
      <c r="I181" s="128"/>
      <c r="J181" s="96" t="s">
        <v>502</v>
      </c>
      <c r="K181" s="96" t="s">
        <v>501</v>
      </c>
      <c r="L181" s="80"/>
      <c r="M181" s="129"/>
      <c r="N181" s="129"/>
      <c r="O181" s="129"/>
      <c r="P181" s="129"/>
      <c r="Q181" s="129"/>
      <c r="R181" s="129"/>
      <c r="S181" s="129"/>
      <c r="T181" s="129"/>
      <c r="U181" s="96" t="s">
        <v>553</v>
      </c>
      <c r="V181" s="100"/>
      <c r="W181" s="100"/>
      <c r="X181" s="100"/>
      <c r="Y181" s="100"/>
      <c r="Z181" s="100"/>
      <c r="AA181" s="100"/>
      <c r="AB181" s="100"/>
      <c r="AC181" s="100"/>
      <c r="AD181" s="100"/>
      <c r="AE181" s="100"/>
      <c r="AF181" s="100"/>
      <c r="AG181" s="100"/>
      <c r="AH181" s="100"/>
      <c r="AI181" s="100"/>
      <c r="AJ181" s="100"/>
      <c r="AK181" s="100"/>
      <c r="AL181" s="100"/>
      <c r="AM181" s="100"/>
      <c r="AN181" s="100"/>
      <c r="AO181" s="100"/>
      <c r="AP181" s="100"/>
      <c r="AQ181" s="100"/>
      <c r="AR181" s="100"/>
      <c r="AS181" s="100" t="s">
        <v>299</v>
      </c>
      <c r="AT181" s="100"/>
      <c r="AU181" s="100"/>
      <c r="AV181" s="100"/>
      <c r="AW181" s="100"/>
      <c r="AX181" s="100"/>
      <c r="AY181" s="100"/>
      <c r="AZ181" s="100"/>
      <c r="BA181" s="100"/>
      <c r="BB181" s="107"/>
      <c r="BC181" s="102">
        <f>IF((SUMPRODUCT(--(V181:AV181&lt;&gt;""))=0),"0",(VLOOKUP((MATCH("X",$V181:$AV181,0)), Lists!$E$13:$G$39,3)))</f>
        <v>225</v>
      </c>
      <c r="BD181" s="103">
        <f t="shared" si="4"/>
        <v>3150</v>
      </c>
      <c r="BE181" s="103" t="str">
        <f t="shared" si="5"/>
        <v>-</v>
      </c>
      <c r="BF181" s="82"/>
      <c r="BG181" s="98"/>
      <c r="BH181" s="98"/>
      <c r="BI181" s="104" t="str">
        <f>IF(ISBLANK($BG181),"-",(IF(BD181="-","-",BD181*(Lists!$K$10/100))))</f>
        <v>-</v>
      </c>
      <c r="BJ181" s="104" t="str">
        <f>IF(ISBLANK($BH181),"-",(IF(BD181="-","-",BD181*(Lists!$K$11/100))))</f>
        <v>-</v>
      </c>
      <c r="BK181" s="104" t="str">
        <f>IF(ISBLANK($BG181),"-",(IF(BE181="-","-",BE181*(Lists!$K$10/100))))</f>
        <v>-</v>
      </c>
      <c r="BL181" s="104" t="str">
        <f>IF(ISBLANK($BH181),"-",(IF(BE181="-","-",BE181*(Lists!$K$11/100))))</f>
        <v>-</v>
      </c>
      <c r="BM181" s="129"/>
      <c r="BN181" s="98"/>
      <c r="BO181" s="104" t="str">
        <f>IF(ISBLANK(BM181),"-",((Lists!$K$19/100)*(IF(BD181&lt;&gt;"-",BD181,BE181))))</f>
        <v>-</v>
      </c>
      <c r="BP181" s="104" t="str">
        <f>IF(ISBLANK(BN181),"-",((Lists!$K$20/100)*(IF(BD181&lt;&gt;"-",BD181,BE181))))</f>
        <v>-</v>
      </c>
    </row>
    <row r="182" spans="1:68" x14ac:dyDescent="0.25">
      <c r="A182" s="105" t="s">
        <v>89</v>
      </c>
      <c r="B182" s="128"/>
      <c r="C182" s="97" t="s">
        <v>110</v>
      </c>
      <c r="D182" s="97" t="s">
        <v>110</v>
      </c>
      <c r="E182" s="97" t="s">
        <v>110</v>
      </c>
      <c r="F182" s="97" t="s">
        <v>110</v>
      </c>
      <c r="G182" s="97">
        <v>14</v>
      </c>
      <c r="H182" s="97" t="s">
        <v>294</v>
      </c>
      <c r="I182" s="128"/>
      <c r="J182" s="96" t="s">
        <v>502</v>
      </c>
      <c r="K182" s="96" t="s">
        <v>501</v>
      </c>
      <c r="L182" s="80"/>
      <c r="M182" s="129"/>
      <c r="N182" s="129"/>
      <c r="O182" s="129"/>
      <c r="P182" s="129"/>
      <c r="Q182" s="129"/>
      <c r="R182" s="129"/>
      <c r="S182" s="129"/>
      <c r="T182" s="129"/>
      <c r="U182" s="96" t="s">
        <v>553</v>
      </c>
      <c r="V182" s="100"/>
      <c r="W182" s="100"/>
      <c r="X182" s="100"/>
      <c r="Y182" s="100"/>
      <c r="Z182" s="100"/>
      <c r="AA182" s="100"/>
      <c r="AB182" s="100"/>
      <c r="AC182" s="100"/>
      <c r="AD182" s="100"/>
      <c r="AE182" s="100"/>
      <c r="AF182" s="100"/>
      <c r="AG182" s="100"/>
      <c r="AH182" s="100"/>
      <c r="AI182" s="100"/>
      <c r="AJ182" s="100"/>
      <c r="AK182" s="100"/>
      <c r="AL182" s="100"/>
      <c r="AM182" s="100"/>
      <c r="AN182" s="100"/>
      <c r="AO182" s="100"/>
      <c r="AP182" s="100"/>
      <c r="AQ182" s="100"/>
      <c r="AR182" s="100"/>
      <c r="AS182" s="100" t="s">
        <v>299</v>
      </c>
      <c r="AT182" s="100"/>
      <c r="AU182" s="100"/>
      <c r="AV182" s="100"/>
      <c r="AW182" s="100"/>
      <c r="AX182" s="100"/>
      <c r="AY182" s="100"/>
      <c r="AZ182" s="100"/>
      <c r="BA182" s="100"/>
      <c r="BB182" s="107"/>
      <c r="BC182" s="102">
        <f>IF((SUMPRODUCT(--(V182:AV182&lt;&gt;""))=0),"0",(VLOOKUP((MATCH("X",$V182:$AV182,0)), Lists!$E$13:$G$39,3)))</f>
        <v>225</v>
      </c>
      <c r="BD182" s="103">
        <f t="shared" si="4"/>
        <v>3150</v>
      </c>
      <c r="BE182" s="103" t="str">
        <f t="shared" si="5"/>
        <v>-</v>
      </c>
      <c r="BF182" s="82"/>
      <c r="BG182" s="98"/>
      <c r="BH182" s="98"/>
      <c r="BI182" s="104" t="str">
        <f>IF(ISBLANK($BG182),"-",(IF(BD182="-","-",BD182*(Lists!$K$10/100))))</f>
        <v>-</v>
      </c>
      <c r="BJ182" s="104" t="str">
        <f>IF(ISBLANK($BH182),"-",(IF(BD182="-","-",BD182*(Lists!$K$11/100))))</f>
        <v>-</v>
      </c>
      <c r="BK182" s="104" t="str">
        <f>IF(ISBLANK($BG182),"-",(IF(BE182="-","-",BE182*(Lists!$K$10/100))))</f>
        <v>-</v>
      </c>
      <c r="BL182" s="104" t="str">
        <f>IF(ISBLANK($BH182),"-",(IF(BE182="-","-",BE182*(Lists!$K$11/100))))</f>
        <v>-</v>
      </c>
      <c r="BM182" s="129"/>
      <c r="BN182" s="98"/>
      <c r="BO182" s="104" t="str">
        <f>IF(ISBLANK(BM182),"-",((Lists!$K$19/100)*(IF(BD182&lt;&gt;"-",BD182,BE182))))</f>
        <v>-</v>
      </c>
      <c r="BP182" s="104" t="str">
        <f>IF(ISBLANK(BN182),"-",((Lists!$K$20/100)*(IF(BD182&lt;&gt;"-",BD182,BE182))))</f>
        <v>-</v>
      </c>
    </row>
    <row r="183" spans="1:68" x14ac:dyDescent="0.25">
      <c r="A183" s="105" t="s">
        <v>90</v>
      </c>
      <c r="B183" s="128"/>
      <c r="C183" s="97" t="s">
        <v>110</v>
      </c>
      <c r="D183" s="97" t="s">
        <v>110</v>
      </c>
      <c r="E183" s="97" t="s">
        <v>110</v>
      </c>
      <c r="F183" s="97" t="s">
        <v>110</v>
      </c>
      <c r="G183" s="97">
        <v>2</v>
      </c>
      <c r="H183" s="97" t="s">
        <v>294</v>
      </c>
      <c r="I183" s="128"/>
      <c r="J183" s="96" t="s">
        <v>502</v>
      </c>
      <c r="K183" s="96" t="s">
        <v>501</v>
      </c>
      <c r="L183" s="80"/>
      <c r="M183" s="129"/>
      <c r="N183" s="129"/>
      <c r="O183" s="129"/>
      <c r="P183" s="129"/>
      <c r="Q183" s="129"/>
      <c r="R183" s="129"/>
      <c r="S183" s="129"/>
      <c r="T183" s="129"/>
      <c r="U183" s="96" t="s">
        <v>553</v>
      </c>
      <c r="V183" s="100"/>
      <c r="W183" s="100"/>
      <c r="X183" s="100"/>
      <c r="Y183" s="100"/>
      <c r="Z183" s="100"/>
      <c r="AA183" s="100"/>
      <c r="AB183" s="100"/>
      <c r="AC183" s="100"/>
      <c r="AD183" s="100"/>
      <c r="AE183" s="100"/>
      <c r="AF183" s="100"/>
      <c r="AG183" s="100"/>
      <c r="AH183" s="100"/>
      <c r="AI183" s="100"/>
      <c r="AJ183" s="100"/>
      <c r="AK183" s="100"/>
      <c r="AL183" s="100"/>
      <c r="AM183" s="100"/>
      <c r="AN183" s="100"/>
      <c r="AO183" s="100"/>
      <c r="AP183" s="100"/>
      <c r="AQ183" s="100"/>
      <c r="AR183" s="100"/>
      <c r="AS183" s="100" t="s">
        <v>299</v>
      </c>
      <c r="AT183" s="100"/>
      <c r="AU183" s="100"/>
      <c r="AV183" s="100"/>
      <c r="AW183" s="100"/>
      <c r="AX183" s="100"/>
      <c r="AY183" s="100"/>
      <c r="AZ183" s="100"/>
      <c r="BA183" s="100"/>
      <c r="BB183" s="107"/>
      <c r="BC183" s="102">
        <f>IF((SUMPRODUCT(--(V183:AV183&lt;&gt;""))=0),"0",(VLOOKUP((MATCH("X",$V183:$AV183,0)), Lists!$E$13:$G$39,3)))</f>
        <v>225</v>
      </c>
      <c r="BD183" s="103">
        <f t="shared" si="4"/>
        <v>450</v>
      </c>
      <c r="BE183" s="103" t="str">
        <f t="shared" si="5"/>
        <v>-</v>
      </c>
      <c r="BF183" s="82"/>
      <c r="BG183" s="98"/>
      <c r="BH183" s="98"/>
      <c r="BI183" s="104" t="str">
        <f>IF(ISBLANK($BG183),"-",(IF(BD183="-","-",BD183*(Lists!$K$10/100))))</f>
        <v>-</v>
      </c>
      <c r="BJ183" s="104" t="str">
        <f>IF(ISBLANK($BH183),"-",(IF(BD183="-","-",BD183*(Lists!$K$11/100))))</f>
        <v>-</v>
      </c>
      <c r="BK183" s="104" t="str">
        <f>IF(ISBLANK($BG183),"-",(IF(BE183="-","-",BE183*(Lists!$K$10/100))))</f>
        <v>-</v>
      </c>
      <c r="BL183" s="104" t="str">
        <f>IF(ISBLANK($BH183),"-",(IF(BE183="-","-",BE183*(Lists!$K$11/100))))</f>
        <v>-</v>
      </c>
      <c r="BM183" s="129"/>
      <c r="BN183" s="98"/>
      <c r="BO183" s="104" t="str">
        <f>IF(ISBLANK(BM183),"-",((Lists!$K$19/100)*(IF(BD183&lt;&gt;"-",BD183,BE183))))</f>
        <v>-</v>
      </c>
      <c r="BP183" s="104" t="str">
        <f>IF(ISBLANK(BN183),"-",((Lists!$K$20/100)*(IF(BD183&lt;&gt;"-",BD183,BE183))))</f>
        <v>-</v>
      </c>
    </row>
    <row r="184" spans="1:68" ht="25.5" x14ac:dyDescent="0.25">
      <c r="A184" s="105" t="s">
        <v>84</v>
      </c>
      <c r="B184" s="128"/>
      <c r="C184" s="97" t="s">
        <v>110</v>
      </c>
      <c r="D184" s="97" t="s">
        <v>110</v>
      </c>
      <c r="E184" s="97" t="s">
        <v>110</v>
      </c>
      <c r="F184" s="97" t="s">
        <v>110</v>
      </c>
      <c r="G184" s="97">
        <v>13</v>
      </c>
      <c r="H184" s="97" t="s">
        <v>294</v>
      </c>
      <c r="I184" s="128"/>
      <c r="J184" s="96" t="s">
        <v>502</v>
      </c>
      <c r="K184" s="96" t="s">
        <v>501</v>
      </c>
      <c r="L184" s="80"/>
      <c r="M184" s="129"/>
      <c r="N184" s="129"/>
      <c r="O184" s="129"/>
      <c r="P184" s="129"/>
      <c r="Q184" s="129"/>
      <c r="R184" s="129"/>
      <c r="S184" s="129"/>
      <c r="T184" s="129"/>
      <c r="U184" s="96" t="s">
        <v>553</v>
      </c>
      <c r="V184" s="100"/>
      <c r="W184" s="100"/>
      <c r="X184" s="100"/>
      <c r="Y184" s="100"/>
      <c r="Z184" s="100"/>
      <c r="AA184" s="100"/>
      <c r="AB184" s="100"/>
      <c r="AC184" s="100"/>
      <c r="AD184" s="100"/>
      <c r="AE184" s="100"/>
      <c r="AF184" s="100"/>
      <c r="AG184" s="100"/>
      <c r="AH184" s="100"/>
      <c r="AI184" s="100"/>
      <c r="AJ184" s="100"/>
      <c r="AK184" s="100"/>
      <c r="AL184" s="100"/>
      <c r="AM184" s="100"/>
      <c r="AN184" s="100"/>
      <c r="AO184" s="100"/>
      <c r="AP184" s="100"/>
      <c r="AQ184" s="100"/>
      <c r="AR184" s="100"/>
      <c r="AS184" s="100" t="s">
        <v>299</v>
      </c>
      <c r="AT184" s="100"/>
      <c r="AU184" s="100"/>
      <c r="AV184" s="100"/>
      <c r="AW184" s="100"/>
      <c r="AX184" s="100"/>
      <c r="AY184" s="100"/>
      <c r="AZ184" s="100"/>
      <c r="BA184" s="100"/>
      <c r="BB184" s="107"/>
      <c r="BC184" s="102">
        <f>IF((SUMPRODUCT(--(V184:AV184&lt;&gt;""))=0),"0",(VLOOKUP((MATCH("X",$V184:$AV184,0)), Lists!$E$13:$G$39,3)))</f>
        <v>225</v>
      </c>
      <c r="BD184" s="103">
        <f t="shared" si="4"/>
        <v>2925</v>
      </c>
      <c r="BE184" s="103" t="str">
        <f t="shared" si="5"/>
        <v>-</v>
      </c>
      <c r="BF184" s="82"/>
      <c r="BG184" s="98"/>
      <c r="BH184" s="98"/>
      <c r="BI184" s="104" t="str">
        <f>IF(ISBLANK($BG184),"-",(IF(BD184="-","-",BD184*(Lists!$K$10/100))))</f>
        <v>-</v>
      </c>
      <c r="BJ184" s="104" t="str">
        <f>IF(ISBLANK($BH184),"-",(IF(BD184="-","-",BD184*(Lists!$K$11/100))))</f>
        <v>-</v>
      </c>
      <c r="BK184" s="104" t="str">
        <f>IF(ISBLANK($BG184),"-",(IF(BE184="-","-",BE184*(Lists!$K$10/100))))</f>
        <v>-</v>
      </c>
      <c r="BL184" s="104" t="str">
        <f>IF(ISBLANK($BH184),"-",(IF(BE184="-","-",BE184*(Lists!$K$11/100))))</f>
        <v>-</v>
      </c>
      <c r="BM184" s="129"/>
      <c r="BN184" s="98"/>
      <c r="BO184" s="104" t="str">
        <f>IF(ISBLANK(BM184),"-",((Lists!$K$19/100)*(IF(BD184&lt;&gt;"-",BD184,BE184))))</f>
        <v>-</v>
      </c>
      <c r="BP184" s="104" t="str">
        <f>IF(ISBLANK(BN184),"-",((Lists!$K$20/100)*(IF(BD184&lt;&gt;"-",BD184,BE184))))</f>
        <v>-</v>
      </c>
    </row>
    <row r="185" spans="1:68" x14ac:dyDescent="0.25">
      <c r="A185" s="187" t="s">
        <v>7</v>
      </c>
      <c r="B185" s="188"/>
      <c r="C185" s="97" t="s">
        <v>110</v>
      </c>
      <c r="D185" s="97" t="s">
        <v>110</v>
      </c>
      <c r="E185" s="97" t="s">
        <v>110</v>
      </c>
      <c r="F185" s="97" t="s">
        <v>110</v>
      </c>
      <c r="G185" s="189">
        <v>4</v>
      </c>
      <c r="H185" s="97" t="s">
        <v>294</v>
      </c>
      <c r="I185" s="128"/>
      <c r="J185" s="96" t="s">
        <v>502</v>
      </c>
      <c r="K185" s="96" t="s">
        <v>501</v>
      </c>
      <c r="L185" s="80"/>
      <c r="M185" s="129"/>
      <c r="N185" s="129"/>
      <c r="O185" s="129"/>
      <c r="P185" s="129"/>
      <c r="Q185" s="129"/>
      <c r="R185" s="129"/>
      <c r="S185" s="129"/>
      <c r="T185" s="129"/>
      <c r="U185" s="96" t="s">
        <v>553</v>
      </c>
      <c r="V185" s="100"/>
      <c r="W185" s="100"/>
      <c r="X185" s="100"/>
      <c r="Y185" s="100"/>
      <c r="Z185" s="100"/>
      <c r="AA185" s="100"/>
      <c r="AB185" s="100"/>
      <c r="AC185" s="100"/>
      <c r="AD185" s="100"/>
      <c r="AE185" s="100"/>
      <c r="AF185" s="100"/>
      <c r="AG185" s="100"/>
      <c r="AH185" s="100"/>
      <c r="AI185" s="100"/>
      <c r="AJ185" s="100"/>
      <c r="AK185" s="100"/>
      <c r="AL185" s="100"/>
      <c r="AM185" s="100"/>
      <c r="AN185" s="100"/>
      <c r="AO185" s="100"/>
      <c r="AP185" s="100"/>
      <c r="AQ185" s="100"/>
      <c r="AR185" s="100"/>
      <c r="AS185" s="100" t="s">
        <v>299</v>
      </c>
      <c r="AT185" s="100"/>
      <c r="AU185" s="100"/>
      <c r="AV185" s="100"/>
      <c r="AW185" s="100"/>
      <c r="AX185" s="100"/>
      <c r="AY185" s="100"/>
      <c r="AZ185" s="100"/>
      <c r="BA185" s="100"/>
      <c r="BB185" s="107"/>
      <c r="BC185" s="102">
        <f>IF((SUMPRODUCT(--(V185:AV185&lt;&gt;""))=0),"0",(VLOOKUP((MATCH("X",$V185:$AV185,0)), Lists!$E$13:$G$39,3)))</f>
        <v>225</v>
      </c>
      <c r="BD185" s="103">
        <f t="shared" si="4"/>
        <v>900</v>
      </c>
      <c r="BE185" s="103" t="str">
        <f t="shared" si="5"/>
        <v>-</v>
      </c>
      <c r="BF185" s="82"/>
      <c r="BG185" s="98"/>
      <c r="BH185" s="98"/>
      <c r="BI185" s="104" t="str">
        <f>IF(ISBLANK($BG185),"-",(IF(BD185="-","-",BD185*(Lists!$K$10/100))))</f>
        <v>-</v>
      </c>
      <c r="BJ185" s="104" t="str">
        <f>IF(ISBLANK($BH185),"-",(IF(BD185="-","-",BD185*(Lists!$K$11/100))))</f>
        <v>-</v>
      </c>
      <c r="BK185" s="104" t="str">
        <f>IF(ISBLANK($BG185),"-",(IF(BE185="-","-",BE185*(Lists!$K$10/100))))</f>
        <v>-</v>
      </c>
      <c r="BL185" s="104" t="str">
        <f>IF(ISBLANK($BH185),"-",(IF(BE185="-","-",BE185*(Lists!$K$11/100))))</f>
        <v>-</v>
      </c>
      <c r="BM185" s="129"/>
      <c r="BN185" s="98"/>
      <c r="BO185" s="104" t="str">
        <f>IF(ISBLANK(BM185),"-",((Lists!$K$19/100)*(IF(BD185&lt;&gt;"-",BD185,BE185))))</f>
        <v>-</v>
      </c>
      <c r="BP185" s="104" t="str">
        <f>IF(ISBLANK(BN185),"-",((Lists!$K$20/100)*(IF(BD185&lt;&gt;"-",BD185,BE185))))</f>
        <v>-</v>
      </c>
    </row>
    <row r="186" spans="1:68" x14ac:dyDescent="0.25">
      <c r="A186" s="187"/>
      <c r="B186" s="188"/>
      <c r="C186" s="97"/>
      <c r="D186" s="97"/>
      <c r="E186" s="97"/>
      <c r="F186" s="97"/>
      <c r="G186" s="189"/>
      <c r="H186" s="189"/>
      <c r="I186" s="75"/>
      <c r="J186" s="96"/>
      <c r="K186" s="96"/>
      <c r="L186" s="76"/>
      <c r="M186" s="74"/>
      <c r="N186" s="74"/>
      <c r="O186" s="74"/>
      <c r="P186" s="74"/>
      <c r="Q186" s="74"/>
      <c r="R186" s="74"/>
      <c r="S186" s="74"/>
      <c r="T186" s="74"/>
      <c r="U186" s="96"/>
      <c r="V186" s="100"/>
      <c r="W186" s="100"/>
      <c r="X186" s="100"/>
      <c r="Y186" s="100"/>
      <c r="Z186" s="100"/>
      <c r="AA186" s="100"/>
      <c r="AB186" s="100"/>
      <c r="AC186" s="100"/>
      <c r="AD186" s="100"/>
      <c r="AE186" s="100"/>
      <c r="AF186" s="100"/>
      <c r="AG186" s="100"/>
      <c r="AH186" s="100"/>
      <c r="AI186" s="100"/>
      <c r="AJ186" s="100"/>
      <c r="AK186" s="100"/>
      <c r="AL186" s="100"/>
      <c r="AM186" s="100"/>
      <c r="AN186" s="100"/>
      <c r="AO186" s="100"/>
      <c r="AP186" s="100"/>
      <c r="AQ186" s="100"/>
      <c r="AR186" s="100"/>
      <c r="AS186" s="100"/>
      <c r="AT186" s="100"/>
      <c r="AU186" s="100"/>
      <c r="AV186" s="100"/>
      <c r="AW186" s="100"/>
      <c r="AX186" s="100"/>
      <c r="AY186" s="100"/>
      <c r="AZ186" s="100"/>
      <c r="BA186" s="100"/>
      <c r="BB186" s="107"/>
      <c r="BC186" s="102" t="str">
        <f>IF((SUMPRODUCT(--(V186:AV186&lt;&gt;""))=0),"0",(VLOOKUP((MATCH("X",$V186:$AV186,0)), Lists!$E$13:$G$39,3)))</f>
        <v>0</v>
      </c>
      <c r="BD186" s="103">
        <f t="shared" si="4"/>
        <v>0</v>
      </c>
      <c r="BE186" s="103" t="str">
        <f t="shared" si="5"/>
        <v>-</v>
      </c>
      <c r="BF186" s="82"/>
      <c r="BG186" s="190"/>
      <c r="BH186" s="190"/>
      <c r="BI186" s="104" t="str">
        <f>IF(ISBLANK($BG186),"-",(IF(BD186="-","-",BD186*(Lists!$K$10/100))))</f>
        <v>-</v>
      </c>
      <c r="BJ186" s="104" t="str">
        <f>IF(ISBLANK($BH186),"-",(IF(BD186="-","-",BD186*(Lists!$K$11/100))))</f>
        <v>-</v>
      </c>
      <c r="BK186" s="104" t="str">
        <f>IF(ISBLANK($BG186),"-",(IF(BE186="-","-",BE186*(Lists!$K$10/100))))</f>
        <v>-</v>
      </c>
      <c r="BL186" s="104" t="str">
        <f>IF(ISBLANK($BH186),"-",(IF(BE186="-","-",BE186*(Lists!$K$11/100))))</f>
        <v>-</v>
      </c>
      <c r="BO186" s="104" t="str">
        <f>IF(ISBLANK(BM186),"-",((Lists!$K$19/100)*(IF(BD186&lt;&gt;"-",BD186,BE186))))</f>
        <v>-</v>
      </c>
      <c r="BP186" s="104" t="str">
        <f>IF(ISBLANK(BN186),"-",((Lists!$K$20/100)*(IF(BD186&lt;&gt;"-",BD186,BE186))))</f>
        <v>-</v>
      </c>
    </row>
    <row r="187" spans="1:68" x14ac:dyDescent="0.25">
      <c r="A187" s="187"/>
      <c r="B187" s="188"/>
      <c r="C187" s="97"/>
      <c r="D187" s="97"/>
      <c r="E187" s="97"/>
      <c r="F187" s="97"/>
      <c r="G187" s="189"/>
      <c r="H187" s="189"/>
      <c r="I187" s="75"/>
      <c r="J187" s="96"/>
      <c r="K187" s="96"/>
      <c r="L187" s="76"/>
      <c r="M187" s="74"/>
      <c r="N187" s="74"/>
      <c r="O187" s="74"/>
      <c r="P187" s="74"/>
      <c r="Q187" s="74"/>
      <c r="R187" s="74"/>
      <c r="S187" s="74"/>
      <c r="T187" s="74"/>
      <c r="U187" s="96"/>
      <c r="V187" s="100"/>
      <c r="W187" s="100"/>
      <c r="X187" s="100"/>
      <c r="Y187" s="100"/>
      <c r="Z187" s="100"/>
      <c r="AA187" s="100"/>
      <c r="AB187" s="100"/>
      <c r="AC187" s="100"/>
      <c r="AD187" s="100"/>
      <c r="AE187" s="100"/>
      <c r="AF187" s="100"/>
      <c r="AG187" s="100"/>
      <c r="AH187" s="100"/>
      <c r="AI187" s="100"/>
      <c r="AJ187" s="100"/>
      <c r="AK187" s="100"/>
      <c r="AL187" s="100"/>
      <c r="AM187" s="100"/>
      <c r="AN187" s="100"/>
      <c r="AO187" s="100"/>
      <c r="AP187" s="100"/>
      <c r="AQ187" s="100"/>
      <c r="AR187" s="100"/>
      <c r="AS187" s="100"/>
      <c r="AT187" s="100"/>
      <c r="AU187" s="100"/>
      <c r="AV187" s="100"/>
      <c r="AW187" s="100"/>
      <c r="AX187" s="100"/>
      <c r="AY187" s="100"/>
      <c r="AZ187" s="100"/>
      <c r="BA187" s="100"/>
      <c r="BB187" s="107"/>
      <c r="BC187" s="102" t="str">
        <f>IF((SUMPRODUCT(--(V187:AV187&lt;&gt;""))=0),"0",(VLOOKUP((MATCH("X",$V187:$AV187,0)), Lists!$E$13:$G$39,3)))</f>
        <v>0</v>
      </c>
      <c r="BD187" s="103">
        <f t="shared" si="4"/>
        <v>0</v>
      </c>
      <c r="BE187" s="103" t="str">
        <f t="shared" si="5"/>
        <v>-</v>
      </c>
      <c r="BF187" s="82"/>
      <c r="BG187" s="190"/>
      <c r="BH187" s="190"/>
      <c r="BI187" s="104" t="str">
        <f>IF(ISBLANK($BG187),"-",(IF(BD187="-","-",BD187*(Lists!$K$10/100))))</f>
        <v>-</v>
      </c>
      <c r="BJ187" s="104" t="str">
        <f>IF(ISBLANK($BH187),"-",(IF(BD187="-","-",BD187*(Lists!$K$11/100))))</f>
        <v>-</v>
      </c>
      <c r="BK187" s="104" t="str">
        <f>IF(ISBLANK($BG187),"-",(IF(BE187="-","-",BE187*(Lists!$K$10/100))))</f>
        <v>-</v>
      </c>
      <c r="BL187" s="104" t="str">
        <f>IF(ISBLANK($BH187),"-",(IF(BE187="-","-",BE187*(Lists!$K$11/100))))</f>
        <v>-</v>
      </c>
      <c r="BO187" s="104" t="str">
        <f>IF(ISBLANK(BM187),"-",((Lists!$K$19/100)*(IF(BD187&lt;&gt;"-",BD187,BE187))))</f>
        <v>-</v>
      </c>
      <c r="BP187" s="104" t="str">
        <f>IF(ISBLANK(BN187),"-",((Lists!$K$20/100)*(IF(BD187&lt;&gt;"-",BD187,BE187))))</f>
        <v>-</v>
      </c>
    </row>
    <row r="188" spans="1:68" x14ac:dyDescent="0.25">
      <c r="A188" s="187"/>
      <c r="B188" s="188"/>
      <c r="C188" s="97"/>
      <c r="D188" s="97"/>
      <c r="E188" s="97"/>
      <c r="F188" s="97"/>
      <c r="G188" s="189"/>
      <c r="H188" s="189"/>
      <c r="I188" s="75"/>
      <c r="J188" s="96"/>
      <c r="K188" s="96"/>
      <c r="L188" s="76"/>
      <c r="M188" s="74"/>
      <c r="N188" s="74"/>
      <c r="O188" s="74"/>
      <c r="P188" s="74"/>
      <c r="Q188" s="74"/>
      <c r="R188" s="74"/>
      <c r="S188" s="74"/>
      <c r="T188" s="74"/>
      <c r="U188" s="96"/>
      <c r="V188" s="100"/>
      <c r="W188" s="100"/>
      <c r="X188" s="100"/>
      <c r="Y188" s="100"/>
      <c r="Z188" s="100"/>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100"/>
      <c r="AV188" s="100"/>
      <c r="AW188" s="100"/>
      <c r="AX188" s="100"/>
      <c r="AY188" s="100"/>
      <c r="AZ188" s="100"/>
      <c r="BA188" s="100"/>
      <c r="BB188" s="107"/>
      <c r="BC188" s="102" t="str">
        <f>IF((SUMPRODUCT(--(V188:AV188&lt;&gt;""))=0),"0",(VLOOKUP((MATCH("X",$V188:$AV188,0)), Lists!$E$13:$G$39,3)))</f>
        <v>0</v>
      </c>
      <c r="BD188" s="103">
        <f t="shared" si="4"/>
        <v>0</v>
      </c>
      <c r="BE188" s="103" t="str">
        <f t="shared" si="5"/>
        <v>-</v>
      </c>
      <c r="BF188" s="82"/>
      <c r="BG188" s="190"/>
      <c r="BH188" s="190"/>
      <c r="BI188" s="104" t="str">
        <f>IF(ISBLANK($BG188),"-",(IF(BD188="-","-",BD188*(Lists!$K$10/100))))</f>
        <v>-</v>
      </c>
      <c r="BJ188" s="104" t="str">
        <f>IF(ISBLANK($BH188),"-",(IF(BD188="-","-",BD188*(Lists!$K$11/100))))</f>
        <v>-</v>
      </c>
      <c r="BK188" s="104" t="str">
        <f>IF(ISBLANK($BG188),"-",(IF(BE188="-","-",BE188*(Lists!$K$10/100))))</f>
        <v>-</v>
      </c>
      <c r="BL188" s="104" t="str">
        <f>IF(ISBLANK($BH188),"-",(IF(BE188="-","-",BE188*(Lists!$K$11/100))))</f>
        <v>-</v>
      </c>
      <c r="BO188" s="104" t="str">
        <f>IF(ISBLANK(BM188),"-",((Lists!$K$19/100)*(IF(BD188&lt;&gt;"-",BD188,BE188))))</f>
        <v>-</v>
      </c>
      <c r="BP188" s="104" t="str">
        <f>IF(ISBLANK(BN188),"-",((Lists!$K$20/100)*(IF(BD188&lt;&gt;"-",BD188,BE188))))</f>
        <v>-</v>
      </c>
    </row>
    <row r="189" spans="1:68" x14ac:dyDescent="0.25">
      <c r="A189" s="187"/>
      <c r="B189" s="188"/>
      <c r="C189" s="97"/>
      <c r="D189" s="97"/>
      <c r="E189" s="97"/>
      <c r="F189" s="97"/>
      <c r="G189" s="189"/>
      <c r="H189" s="189"/>
      <c r="I189" s="75"/>
      <c r="J189" s="96"/>
      <c r="K189" s="96"/>
      <c r="L189" s="76"/>
      <c r="M189" s="74"/>
      <c r="N189" s="74"/>
      <c r="O189" s="74"/>
      <c r="P189" s="74"/>
      <c r="Q189" s="74"/>
      <c r="R189" s="74"/>
      <c r="S189" s="74"/>
      <c r="T189" s="74"/>
      <c r="U189" s="96"/>
      <c r="V189" s="100"/>
      <c r="W189" s="100"/>
      <c r="X189" s="100"/>
      <c r="Y189" s="100"/>
      <c r="Z189" s="100"/>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0"/>
      <c r="AV189" s="100"/>
      <c r="AW189" s="100"/>
      <c r="AX189" s="100"/>
      <c r="AY189" s="100"/>
      <c r="AZ189" s="100"/>
      <c r="BA189" s="100"/>
      <c r="BB189" s="107"/>
      <c r="BC189" s="102" t="str">
        <f>IF((SUMPRODUCT(--(V189:AV189&lt;&gt;""))=0),"0",(VLOOKUP((MATCH("X",$V189:$AV189,0)), Lists!$E$13:$G$39,3)))</f>
        <v>0</v>
      </c>
      <c r="BD189" s="103">
        <f t="shared" si="4"/>
        <v>0</v>
      </c>
      <c r="BE189" s="103" t="str">
        <f t="shared" si="5"/>
        <v>-</v>
      </c>
      <c r="BF189" s="82"/>
      <c r="BG189" s="190"/>
      <c r="BH189" s="190"/>
      <c r="BI189" s="104" t="str">
        <f>IF(ISBLANK($BG189),"-",(IF(BD189="-","-",BD189*(Lists!$K$10/100))))</f>
        <v>-</v>
      </c>
      <c r="BJ189" s="104" t="str">
        <f>IF(ISBLANK($BH189),"-",(IF(BD189="-","-",BD189*(Lists!$K$11/100))))</f>
        <v>-</v>
      </c>
      <c r="BK189" s="104" t="str">
        <f>IF(ISBLANK($BG189),"-",(IF(BE189="-","-",BE189*(Lists!$K$10/100))))</f>
        <v>-</v>
      </c>
      <c r="BL189" s="104" t="str">
        <f>IF(ISBLANK($BH189),"-",(IF(BE189="-","-",BE189*(Lists!$K$11/100))))</f>
        <v>-</v>
      </c>
      <c r="BO189" s="104" t="str">
        <f>IF(ISBLANK(BM189),"-",((Lists!$K$19/100)*(IF(BD189&lt;&gt;"-",BD189,BE189))))</f>
        <v>-</v>
      </c>
      <c r="BP189" s="104" t="str">
        <f>IF(ISBLANK(BN189),"-",((Lists!$K$20/100)*(IF(BD189&lt;&gt;"-",BD189,BE189))))</f>
        <v>-</v>
      </c>
    </row>
    <row r="190" spans="1:68" x14ac:dyDescent="0.25">
      <c r="A190" s="187"/>
      <c r="B190" s="188"/>
      <c r="C190" s="97"/>
      <c r="D190" s="97"/>
      <c r="E190" s="97"/>
      <c r="F190" s="97"/>
      <c r="G190" s="189"/>
      <c r="H190" s="189"/>
      <c r="I190" s="75"/>
      <c r="J190" s="96"/>
      <c r="K190" s="96"/>
      <c r="L190" s="76"/>
      <c r="M190" s="74"/>
      <c r="N190" s="74"/>
      <c r="O190" s="74"/>
      <c r="P190" s="74"/>
      <c r="Q190" s="74"/>
      <c r="R190" s="74"/>
      <c r="S190" s="74"/>
      <c r="T190" s="74"/>
      <c r="U190" s="96"/>
      <c r="V190" s="100"/>
      <c r="W190" s="100"/>
      <c r="X190" s="100"/>
      <c r="Y190" s="100"/>
      <c r="Z190" s="10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100"/>
      <c r="AV190" s="100"/>
      <c r="AW190" s="100"/>
      <c r="AX190" s="100"/>
      <c r="AY190" s="100"/>
      <c r="AZ190" s="100"/>
      <c r="BA190" s="100"/>
      <c r="BB190" s="107"/>
      <c r="BC190" s="102" t="str">
        <f>IF((SUMPRODUCT(--(V190:AV190&lt;&gt;""))=0),"0",(VLOOKUP((MATCH("X",$V190:$AV190,0)), Lists!$E$13:$G$39,3)))</f>
        <v>0</v>
      </c>
      <c r="BD190" s="103">
        <f t="shared" si="4"/>
        <v>0</v>
      </c>
      <c r="BE190" s="103" t="str">
        <f t="shared" si="5"/>
        <v>-</v>
      </c>
      <c r="BF190" s="82"/>
      <c r="BG190" s="190"/>
      <c r="BH190" s="190"/>
      <c r="BI190" s="104" t="str">
        <f>IF(ISBLANK($BG190),"-",(IF(BD190="-","-",BD190*(Lists!$K$10/100))))</f>
        <v>-</v>
      </c>
      <c r="BJ190" s="104" t="str">
        <f>IF(ISBLANK($BH190),"-",(IF(BD190="-","-",BD190*(Lists!$K$11/100))))</f>
        <v>-</v>
      </c>
      <c r="BK190" s="104" t="str">
        <f>IF(ISBLANK($BG190),"-",(IF(BE190="-","-",BE190*(Lists!$K$10/100))))</f>
        <v>-</v>
      </c>
      <c r="BL190" s="104" t="str">
        <f>IF(ISBLANK($BH190),"-",(IF(BE190="-","-",BE190*(Lists!$K$11/100))))</f>
        <v>-</v>
      </c>
      <c r="BO190" s="104" t="str">
        <f>IF(ISBLANK(BM190),"-",((Lists!$K$19/100)*(IF(BD190&lt;&gt;"-",BD190,BE190))))</f>
        <v>-</v>
      </c>
      <c r="BP190" s="104" t="str">
        <f>IF(ISBLANK(BN190),"-",((Lists!$K$20/100)*(IF(BD190&lt;&gt;"-",BD190,BE190))))</f>
        <v>-</v>
      </c>
    </row>
    <row r="191" spans="1:68" x14ac:dyDescent="0.25">
      <c r="A191" s="187"/>
      <c r="B191" s="188"/>
      <c r="C191" s="97"/>
      <c r="D191" s="97"/>
      <c r="E191" s="97"/>
      <c r="F191" s="97"/>
      <c r="G191" s="189"/>
      <c r="H191" s="189"/>
      <c r="I191" s="75"/>
      <c r="J191" s="96"/>
      <c r="K191" s="96"/>
      <c r="L191" s="76"/>
      <c r="M191" s="74"/>
      <c r="N191" s="74"/>
      <c r="O191" s="74"/>
      <c r="P191" s="74"/>
      <c r="Q191" s="74"/>
      <c r="R191" s="74"/>
      <c r="S191" s="74"/>
      <c r="T191" s="74"/>
      <c r="U191" s="96"/>
      <c r="V191" s="100"/>
      <c r="W191" s="100"/>
      <c r="X191" s="100"/>
      <c r="Y191" s="100"/>
      <c r="Z191" s="100"/>
      <c r="AA191" s="100"/>
      <c r="AB191" s="100"/>
      <c r="AC191" s="100"/>
      <c r="AD191" s="100"/>
      <c r="AE191" s="100"/>
      <c r="AF191" s="100"/>
      <c r="AG191" s="100"/>
      <c r="AH191" s="100"/>
      <c r="AI191" s="100"/>
      <c r="AJ191" s="100"/>
      <c r="AK191" s="100"/>
      <c r="AL191" s="100"/>
      <c r="AM191" s="100"/>
      <c r="AN191" s="100"/>
      <c r="AO191" s="100"/>
      <c r="AP191" s="100"/>
      <c r="AQ191" s="100"/>
      <c r="AR191" s="100"/>
      <c r="AS191" s="100"/>
      <c r="AT191" s="100"/>
      <c r="AU191" s="100"/>
      <c r="AV191" s="100"/>
      <c r="AW191" s="100"/>
      <c r="AX191" s="100"/>
      <c r="AY191" s="100"/>
      <c r="AZ191" s="100"/>
      <c r="BA191" s="100"/>
      <c r="BB191" s="107"/>
      <c r="BC191" s="102" t="str">
        <f>IF((SUMPRODUCT(--(V191:AV191&lt;&gt;""))=0),"0",(VLOOKUP((MATCH("X",$V191:$AV191,0)), Lists!$E$13:$G$39,3)))</f>
        <v>0</v>
      </c>
      <c r="BD191" s="103">
        <f t="shared" si="4"/>
        <v>0</v>
      </c>
      <c r="BE191" s="103" t="str">
        <f t="shared" si="5"/>
        <v>-</v>
      </c>
      <c r="BF191" s="82"/>
      <c r="BG191" s="190"/>
      <c r="BH191" s="190"/>
      <c r="BI191" s="104" t="str">
        <f>IF(ISBLANK($BG191),"-",(IF(BD191="-","-",BD191*(Lists!$K$10/100))))</f>
        <v>-</v>
      </c>
      <c r="BJ191" s="104" t="str">
        <f>IF(ISBLANK($BH191),"-",(IF(BD191="-","-",BD191*(Lists!$K$11/100))))</f>
        <v>-</v>
      </c>
      <c r="BK191" s="104" t="str">
        <f>IF(ISBLANK($BG191),"-",(IF(BE191="-","-",BE191*(Lists!$K$10/100))))</f>
        <v>-</v>
      </c>
      <c r="BL191" s="104" t="str">
        <f>IF(ISBLANK($BH191),"-",(IF(BE191="-","-",BE191*(Lists!$K$11/100))))</f>
        <v>-</v>
      </c>
      <c r="BO191" s="104" t="str">
        <f>IF(ISBLANK(BM191),"-",((Lists!$K$19/100)*(IF(BD191&lt;&gt;"-",BD191,BE191))))</f>
        <v>-</v>
      </c>
      <c r="BP191" s="104" t="str">
        <f>IF(ISBLANK(BN191),"-",((Lists!$K$20/100)*(IF(BD191&lt;&gt;"-",BD191,BE191))))</f>
        <v>-</v>
      </c>
    </row>
    <row r="192" spans="1:68" x14ac:dyDescent="0.25">
      <c r="A192" s="187"/>
      <c r="B192" s="188"/>
      <c r="C192" s="97"/>
      <c r="D192" s="97"/>
      <c r="E192" s="97"/>
      <c r="F192" s="97"/>
      <c r="G192" s="189"/>
      <c r="H192" s="189"/>
      <c r="I192" s="75"/>
      <c r="J192" s="96"/>
      <c r="K192" s="96"/>
      <c r="L192" s="76"/>
      <c r="M192" s="74"/>
      <c r="N192" s="74"/>
      <c r="O192" s="74"/>
      <c r="P192" s="74"/>
      <c r="Q192" s="74"/>
      <c r="R192" s="74"/>
      <c r="S192" s="74"/>
      <c r="T192" s="74"/>
      <c r="U192" s="96"/>
      <c r="V192" s="100"/>
      <c r="W192" s="100"/>
      <c r="X192" s="100"/>
      <c r="Y192" s="100"/>
      <c r="Z192" s="100"/>
      <c r="AA192" s="100"/>
      <c r="AB192" s="100"/>
      <c r="AC192" s="100"/>
      <c r="AD192" s="100"/>
      <c r="AE192" s="100"/>
      <c r="AF192" s="100"/>
      <c r="AG192" s="100"/>
      <c r="AH192" s="100"/>
      <c r="AI192" s="100"/>
      <c r="AJ192" s="100"/>
      <c r="AK192" s="100"/>
      <c r="AL192" s="100"/>
      <c r="AM192" s="100"/>
      <c r="AN192" s="100"/>
      <c r="AO192" s="100"/>
      <c r="AP192" s="100"/>
      <c r="AQ192" s="100"/>
      <c r="AR192" s="100"/>
      <c r="AS192" s="100"/>
      <c r="AT192" s="100"/>
      <c r="AU192" s="100"/>
      <c r="AV192" s="100"/>
      <c r="AW192" s="100"/>
      <c r="AX192" s="100"/>
      <c r="AY192" s="100"/>
      <c r="AZ192" s="100"/>
      <c r="BA192" s="100"/>
      <c r="BB192" s="107"/>
      <c r="BC192" s="102" t="str">
        <f>IF((SUMPRODUCT(--(V192:AV192&lt;&gt;""))=0),"0",(VLOOKUP((MATCH("X",$V192:$AV192,0)), Lists!$E$13:$G$39,3)))</f>
        <v>0</v>
      </c>
      <c r="BD192" s="103">
        <f t="shared" si="4"/>
        <v>0</v>
      </c>
      <c r="BE192" s="103" t="str">
        <f t="shared" si="5"/>
        <v>-</v>
      </c>
      <c r="BF192" s="82"/>
      <c r="BG192" s="190"/>
      <c r="BH192" s="190"/>
      <c r="BI192" s="104" t="str">
        <f>IF(ISBLANK($BG192),"-",(IF(BD192="-","-",BD192*(Lists!$K$10/100))))</f>
        <v>-</v>
      </c>
      <c r="BJ192" s="104" t="str">
        <f>IF(ISBLANK($BH192),"-",(IF(BD192="-","-",BD192*(Lists!$K$11/100))))</f>
        <v>-</v>
      </c>
      <c r="BK192" s="104" t="str">
        <f>IF(ISBLANK($BG192),"-",(IF(BE192="-","-",BE192*(Lists!$K$10/100))))</f>
        <v>-</v>
      </c>
      <c r="BL192" s="104" t="str">
        <f>IF(ISBLANK($BH192),"-",(IF(BE192="-","-",BE192*(Lists!$K$11/100))))</f>
        <v>-</v>
      </c>
      <c r="BO192" s="104" t="str">
        <f>IF(ISBLANK(BM192),"-",((Lists!$K$19/100)*(IF(BD192&lt;&gt;"-",BD192,BE192))))</f>
        <v>-</v>
      </c>
      <c r="BP192" s="104" t="str">
        <f>IF(ISBLANK(BN192),"-",((Lists!$K$20/100)*(IF(BD192&lt;&gt;"-",BD192,BE192))))</f>
        <v>-</v>
      </c>
    </row>
    <row r="193" spans="1:68" x14ac:dyDescent="0.25">
      <c r="A193" s="187"/>
      <c r="B193" s="188"/>
      <c r="C193" s="97"/>
      <c r="D193" s="97"/>
      <c r="E193" s="97"/>
      <c r="F193" s="97"/>
      <c r="G193" s="189"/>
      <c r="H193" s="189"/>
      <c r="I193" s="75"/>
      <c r="J193" s="96"/>
      <c r="K193" s="96"/>
      <c r="L193" s="76"/>
      <c r="M193" s="74"/>
      <c r="N193" s="74"/>
      <c r="O193" s="74"/>
      <c r="P193" s="74"/>
      <c r="Q193" s="74"/>
      <c r="R193" s="74"/>
      <c r="S193" s="74"/>
      <c r="T193" s="74"/>
      <c r="U193" s="96"/>
      <c r="V193" s="100"/>
      <c r="W193" s="100"/>
      <c r="X193" s="100"/>
      <c r="Y193" s="100"/>
      <c r="Z193" s="100"/>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7"/>
      <c r="BC193" s="102" t="str">
        <f>IF((SUMPRODUCT(--(V193:AV193&lt;&gt;""))=0),"0",(VLOOKUP((MATCH("X",$V193:$AV193,0)), Lists!$E$13:$G$39,3)))</f>
        <v>0</v>
      </c>
      <c r="BD193" s="103">
        <f t="shared" si="4"/>
        <v>0</v>
      </c>
      <c r="BE193" s="103" t="str">
        <f t="shared" si="5"/>
        <v>-</v>
      </c>
      <c r="BF193" s="82"/>
      <c r="BG193" s="190"/>
      <c r="BH193" s="190"/>
      <c r="BI193" s="104" t="str">
        <f>IF(ISBLANK($BG193),"-",(IF(BD193="-","-",BD193*(Lists!$K$10/100))))</f>
        <v>-</v>
      </c>
      <c r="BJ193" s="104" t="str">
        <f>IF(ISBLANK($BH193),"-",(IF(BD193="-","-",BD193*(Lists!$K$11/100))))</f>
        <v>-</v>
      </c>
      <c r="BK193" s="104" t="str">
        <f>IF(ISBLANK($BG193),"-",(IF(BE193="-","-",BE193*(Lists!$K$10/100))))</f>
        <v>-</v>
      </c>
      <c r="BL193" s="104" t="str">
        <f>IF(ISBLANK($BH193),"-",(IF(BE193="-","-",BE193*(Lists!$K$11/100))))</f>
        <v>-</v>
      </c>
      <c r="BO193" s="104" t="str">
        <f>IF(ISBLANK(BM193),"-",((Lists!$K$19/100)*(IF(BD193&lt;&gt;"-",BD193,BE193))))</f>
        <v>-</v>
      </c>
      <c r="BP193" s="104" t="str">
        <f>IF(ISBLANK(BN193),"-",((Lists!$K$20/100)*(IF(BD193&lt;&gt;"-",BD193,BE193))))</f>
        <v>-</v>
      </c>
    </row>
    <row r="194" spans="1:68" x14ac:dyDescent="0.25">
      <c r="A194" s="187"/>
      <c r="B194" s="188"/>
      <c r="C194" s="97"/>
      <c r="D194" s="97"/>
      <c r="E194" s="97"/>
      <c r="F194" s="97"/>
      <c r="G194" s="189"/>
      <c r="H194" s="189"/>
      <c r="I194" s="75"/>
      <c r="J194" s="96"/>
      <c r="K194" s="96"/>
      <c r="L194" s="76"/>
      <c r="M194" s="74"/>
      <c r="N194" s="74"/>
      <c r="O194" s="74"/>
      <c r="P194" s="74"/>
      <c r="Q194" s="74"/>
      <c r="R194" s="74"/>
      <c r="S194" s="74"/>
      <c r="T194" s="74"/>
      <c r="U194" s="96"/>
      <c r="V194" s="100"/>
      <c r="W194" s="100"/>
      <c r="X194" s="100"/>
      <c r="Y194" s="100"/>
      <c r="Z194" s="100"/>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7"/>
      <c r="BC194" s="102" t="str">
        <f>IF((SUMPRODUCT(--(V194:AV194&lt;&gt;""))=0),"0",(VLOOKUP((MATCH("X",$V194:$AV194,0)), Lists!$E$13:$G$39,3)))</f>
        <v>0</v>
      </c>
      <c r="BD194" s="103">
        <f t="shared" si="4"/>
        <v>0</v>
      </c>
      <c r="BE194" s="103" t="str">
        <f t="shared" si="5"/>
        <v>-</v>
      </c>
      <c r="BF194" s="82"/>
      <c r="BG194" s="190"/>
      <c r="BH194" s="190"/>
      <c r="BI194" s="104" t="str">
        <f>IF(ISBLANK($BG194),"-",(IF(BD194="-","-",BD194*(Lists!$K$10/100))))</f>
        <v>-</v>
      </c>
      <c r="BJ194" s="104" t="str">
        <f>IF(ISBLANK($BH194),"-",(IF(BD194="-","-",BD194*(Lists!$K$11/100))))</f>
        <v>-</v>
      </c>
      <c r="BK194" s="104" t="str">
        <f>IF(ISBLANK($BG194),"-",(IF(BE194="-","-",BE194*(Lists!$K$10/100))))</f>
        <v>-</v>
      </c>
      <c r="BL194" s="104" t="str">
        <f>IF(ISBLANK($BH194),"-",(IF(BE194="-","-",BE194*(Lists!$K$11/100))))</f>
        <v>-</v>
      </c>
      <c r="BO194" s="104" t="str">
        <f>IF(ISBLANK(BM194),"-",((Lists!$K$19/100)*(IF(BD194&lt;&gt;"-",BD194,BE194))))</f>
        <v>-</v>
      </c>
      <c r="BP194" s="104" t="str">
        <f>IF(ISBLANK(BN194),"-",((Lists!$K$20/100)*(IF(BD194&lt;&gt;"-",BD194,BE194))))</f>
        <v>-</v>
      </c>
    </row>
    <row r="195" spans="1:68" x14ac:dyDescent="0.25">
      <c r="A195" s="187"/>
      <c r="B195" s="188"/>
      <c r="C195" s="97"/>
      <c r="D195" s="97"/>
      <c r="E195" s="97"/>
      <c r="F195" s="97"/>
      <c r="G195" s="189"/>
      <c r="H195" s="189"/>
      <c r="I195" s="75"/>
      <c r="J195" s="96"/>
      <c r="K195" s="96"/>
      <c r="L195" s="76"/>
      <c r="M195" s="74"/>
      <c r="N195" s="74"/>
      <c r="O195" s="74"/>
      <c r="P195" s="74"/>
      <c r="Q195" s="74"/>
      <c r="R195" s="74"/>
      <c r="S195" s="74"/>
      <c r="T195" s="74"/>
      <c r="U195" s="96"/>
      <c r="V195" s="100"/>
      <c r="W195" s="100"/>
      <c r="X195" s="100"/>
      <c r="Y195" s="100"/>
      <c r="Z195" s="100"/>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100"/>
      <c r="AV195" s="100"/>
      <c r="AW195" s="100"/>
      <c r="AX195" s="100"/>
      <c r="AY195" s="100"/>
      <c r="AZ195" s="100"/>
      <c r="BA195" s="100"/>
      <c r="BB195" s="107"/>
      <c r="BC195" s="102" t="str">
        <f>IF((SUMPRODUCT(--(V195:AV195&lt;&gt;""))=0),"0",(VLOOKUP((MATCH("X",$V195:$AV195,0)), Lists!$E$13:$G$39,3)))</f>
        <v>0</v>
      </c>
      <c r="BD195" s="103">
        <f t="shared" si="4"/>
        <v>0</v>
      </c>
      <c r="BE195" s="103" t="str">
        <f t="shared" si="5"/>
        <v>-</v>
      </c>
      <c r="BF195" s="82"/>
      <c r="BG195" s="190"/>
      <c r="BH195" s="190"/>
      <c r="BI195" s="104" t="str">
        <f>IF(ISBLANK($BG195),"-",(IF(BD195="-","-",BD195*(Lists!$K$10/100))))</f>
        <v>-</v>
      </c>
      <c r="BJ195" s="104" t="str">
        <f>IF(ISBLANK($BH195),"-",(IF(BD195="-","-",BD195*(Lists!$K$11/100))))</f>
        <v>-</v>
      </c>
      <c r="BK195" s="104" t="str">
        <f>IF(ISBLANK($BG195),"-",(IF(BE195="-","-",BE195*(Lists!$K$10/100))))</f>
        <v>-</v>
      </c>
      <c r="BL195" s="104" t="str">
        <f>IF(ISBLANK($BH195),"-",(IF(BE195="-","-",BE195*(Lists!$K$11/100))))</f>
        <v>-</v>
      </c>
      <c r="BO195" s="104" t="str">
        <f>IF(ISBLANK(BM195),"-",((Lists!$K$19/100)*(IF(BD195&lt;&gt;"-",BD195,BE195))))</f>
        <v>-</v>
      </c>
      <c r="BP195" s="104" t="str">
        <f>IF(ISBLANK(BN195),"-",((Lists!$K$20/100)*(IF(BD195&lt;&gt;"-",BD195,BE195))))</f>
        <v>-</v>
      </c>
    </row>
    <row r="196" spans="1:68" x14ac:dyDescent="0.25">
      <c r="A196" s="187"/>
      <c r="B196" s="188"/>
      <c r="C196" s="97"/>
      <c r="D196" s="97"/>
      <c r="E196" s="97"/>
      <c r="F196" s="97"/>
      <c r="G196" s="189"/>
      <c r="H196" s="189"/>
      <c r="I196" s="75"/>
      <c r="J196" s="96"/>
      <c r="K196" s="96"/>
      <c r="L196" s="76"/>
      <c r="M196" s="74"/>
      <c r="N196" s="74"/>
      <c r="O196" s="74"/>
      <c r="P196" s="74"/>
      <c r="Q196" s="74"/>
      <c r="R196" s="74"/>
      <c r="S196" s="74"/>
      <c r="T196" s="74"/>
      <c r="U196" s="96"/>
      <c r="V196" s="100"/>
      <c r="W196" s="100"/>
      <c r="X196" s="100"/>
      <c r="Y196" s="100"/>
      <c r="Z196" s="100"/>
      <c r="AA196" s="100"/>
      <c r="AB196" s="100"/>
      <c r="AC196" s="100"/>
      <c r="AD196" s="100"/>
      <c r="AE196" s="100"/>
      <c r="AF196" s="100"/>
      <c r="AG196" s="100"/>
      <c r="AH196" s="100"/>
      <c r="AI196" s="100"/>
      <c r="AJ196" s="100"/>
      <c r="AK196" s="100"/>
      <c r="AL196" s="100"/>
      <c r="AM196" s="100"/>
      <c r="AN196" s="100"/>
      <c r="AO196" s="100"/>
      <c r="AP196" s="100"/>
      <c r="AQ196" s="100"/>
      <c r="AR196" s="100"/>
      <c r="AS196" s="100"/>
      <c r="AT196" s="100"/>
      <c r="AU196" s="100"/>
      <c r="AV196" s="100"/>
      <c r="AW196" s="100"/>
      <c r="AX196" s="100"/>
      <c r="AY196" s="100"/>
      <c r="AZ196" s="100"/>
      <c r="BA196" s="100"/>
      <c r="BB196" s="107"/>
      <c r="BC196" s="102" t="str">
        <f>IF((SUMPRODUCT(--(V196:AV196&lt;&gt;""))=0),"0",(VLOOKUP((MATCH("X",$V196:$AV196,0)), Lists!$E$13:$G$39,3)))</f>
        <v>0</v>
      </c>
      <c r="BD196" s="103">
        <f t="shared" si="4"/>
        <v>0</v>
      </c>
      <c r="BE196" s="103" t="str">
        <f t="shared" si="5"/>
        <v>-</v>
      </c>
      <c r="BF196" s="82"/>
      <c r="BG196" s="190"/>
      <c r="BH196" s="190"/>
      <c r="BI196" s="104" t="str">
        <f>IF(ISBLANK($BG196),"-",(IF(BD196="-","-",BD196*(Lists!$K$10/100))))</f>
        <v>-</v>
      </c>
      <c r="BJ196" s="104" t="str">
        <f>IF(ISBLANK($BH196),"-",(IF(BD196="-","-",BD196*(Lists!$K$11/100))))</f>
        <v>-</v>
      </c>
      <c r="BK196" s="104" t="str">
        <f>IF(ISBLANK($BG196),"-",(IF(BE196="-","-",BE196*(Lists!$K$10/100))))</f>
        <v>-</v>
      </c>
      <c r="BL196" s="104" t="str">
        <f>IF(ISBLANK($BH196),"-",(IF(BE196="-","-",BE196*(Lists!$K$11/100))))</f>
        <v>-</v>
      </c>
      <c r="BO196" s="104" t="str">
        <f>IF(ISBLANK(BM196),"-",((Lists!$K$19/100)*(IF(BD196&lt;&gt;"-",BD196,BE196))))</f>
        <v>-</v>
      </c>
      <c r="BP196" s="104" t="str">
        <f>IF(ISBLANK(BN196),"-",((Lists!$K$20/100)*(IF(BD196&lt;&gt;"-",BD196,BE196))))</f>
        <v>-</v>
      </c>
    </row>
    <row r="197" spans="1:68" x14ac:dyDescent="0.25">
      <c r="A197" s="187"/>
      <c r="B197" s="188"/>
      <c r="C197" s="97"/>
      <c r="D197" s="97"/>
      <c r="E197" s="97"/>
      <c r="F197" s="97"/>
      <c r="G197" s="189"/>
      <c r="H197" s="189"/>
      <c r="I197" s="75"/>
      <c r="J197" s="96"/>
      <c r="K197" s="96"/>
      <c r="L197" s="76"/>
      <c r="M197" s="74"/>
      <c r="N197" s="74"/>
      <c r="O197" s="74"/>
      <c r="P197" s="74"/>
      <c r="Q197" s="74"/>
      <c r="R197" s="74"/>
      <c r="S197" s="74"/>
      <c r="T197" s="74"/>
      <c r="U197" s="96"/>
      <c r="V197" s="100"/>
      <c r="W197" s="100"/>
      <c r="X197" s="100"/>
      <c r="Y197" s="100"/>
      <c r="Z197" s="100"/>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0"/>
      <c r="AW197" s="100"/>
      <c r="AX197" s="100"/>
      <c r="AY197" s="100"/>
      <c r="AZ197" s="100"/>
      <c r="BA197" s="100"/>
      <c r="BB197" s="107"/>
      <c r="BC197" s="102" t="str">
        <f>IF((SUMPRODUCT(--(V197:AV197&lt;&gt;""))=0),"0",(VLOOKUP((MATCH("X",$V197:$AV197,0)), Lists!$E$13:$G$39,3)))</f>
        <v>0</v>
      </c>
      <c r="BD197" s="103">
        <f t="shared" ref="BD197:BD211" si="6">IF((AND(ISBLANK(AU197), ISBLANK(BA197), ISBLANK(AW197))),(IF(BB197&gt;0,BB197*G197,(IF(AND(G197&lt;&gt;"-",BC197&gt;0),BC197*G197,"-")))),"-")</f>
        <v>0</v>
      </c>
      <c r="BE197" s="103" t="str">
        <f t="shared" ref="BE197:BE211" si="7">IF((AND(ISBLANK($AU197), ISBLANK($BA197), ISBLANK($AW197))),"-",((IF($BB197&gt;0,$BB197*$G197,(IF(AND($G197&lt;&gt;"-",$BC197&gt;0),$BC197*$G197,"-"))))))</f>
        <v>-</v>
      </c>
      <c r="BF197" s="82"/>
      <c r="BG197" s="190"/>
      <c r="BH197" s="190"/>
      <c r="BI197" s="104" t="str">
        <f>IF(ISBLANK($BG197),"-",(IF(BD197="-","-",BD197*(Lists!$K$10/100))))</f>
        <v>-</v>
      </c>
      <c r="BJ197" s="104" t="str">
        <f>IF(ISBLANK($BH197),"-",(IF(BD197="-","-",BD197*(Lists!$K$11/100))))</f>
        <v>-</v>
      </c>
      <c r="BK197" s="104" t="str">
        <f>IF(ISBLANK($BG197),"-",(IF(BE197="-","-",BE197*(Lists!$K$10/100))))</f>
        <v>-</v>
      </c>
      <c r="BL197" s="104" t="str">
        <f>IF(ISBLANK($BH197),"-",(IF(BE197="-","-",BE197*(Lists!$K$11/100))))</f>
        <v>-</v>
      </c>
      <c r="BO197" s="104" t="str">
        <f>IF(ISBLANK(BM197),"-",((Lists!$K$19/100)*(IF(BD197&lt;&gt;"-",BD197,BE197))))</f>
        <v>-</v>
      </c>
      <c r="BP197" s="104" t="str">
        <f>IF(ISBLANK(BN197),"-",((Lists!$K$20/100)*(IF(BD197&lt;&gt;"-",BD197,BE197))))</f>
        <v>-</v>
      </c>
    </row>
    <row r="198" spans="1:68" x14ac:dyDescent="0.25">
      <c r="A198" s="187"/>
      <c r="B198" s="188"/>
      <c r="C198" s="97"/>
      <c r="D198" s="97"/>
      <c r="E198" s="97"/>
      <c r="F198" s="97"/>
      <c r="G198" s="189"/>
      <c r="H198" s="189"/>
      <c r="I198" s="75"/>
      <c r="J198" s="96"/>
      <c r="K198" s="96"/>
      <c r="L198" s="76"/>
      <c r="M198" s="74"/>
      <c r="N198" s="74"/>
      <c r="O198" s="74"/>
      <c r="P198" s="74"/>
      <c r="Q198" s="74"/>
      <c r="R198" s="74"/>
      <c r="S198" s="74"/>
      <c r="T198" s="74"/>
      <c r="U198" s="96"/>
      <c r="V198" s="100"/>
      <c r="W198" s="100"/>
      <c r="X198" s="100"/>
      <c r="Y198" s="100"/>
      <c r="Z198" s="100"/>
      <c r="AA198" s="100"/>
      <c r="AB198" s="100"/>
      <c r="AC198" s="100"/>
      <c r="AD198" s="100"/>
      <c r="AE198" s="100"/>
      <c r="AF198" s="100"/>
      <c r="AG198" s="100"/>
      <c r="AH198" s="100"/>
      <c r="AI198" s="100"/>
      <c r="AJ198" s="100"/>
      <c r="AK198" s="100"/>
      <c r="AL198" s="100"/>
      <c r="AM198" s="100"/>
      <c r="AN198" s="100"/>
      <c r="AO198" s="100"/>
      <c r="AP198" s="100"/>
      <c r="AQ198" s="100"/>
      <c r="AR198" s="100"/>
      <c r="AS198" s="100"/>
      <c r="AT198" s="100"/>
      <c r="AU198" s="100"/>
      <c r="AV198" s="100"/>
      <c r="AW198" s="100"/>
      <c r="AX198" s="100"/>
      <c r="AY198" s="100"/>
      <c r="AZ198" s="100"/>
      <c r="BA198" s="100"/>
      <c r="BB198" s="107"/>
      <c r="BC198" s="102" t="str">
        <f>IF((SUMPRODUCT(--(V198:AV198&lt;&gt;""))=0),"0",(VLOOKUP((MATCH("X",$V198:$AV198,0)), Lists!$E$13:$G$39,3)))</f>
        <v>0</v>
      </c>
      <c r="BD198" s="103">
        <f t="shared" si="6"/>
        <v>0</v>
      </c>
      <c r="BE198" s="103" t="str">
        <f t="shared" si="7"/>
        <v>-</v>
      </c>
      <c r="BF198" s="82"/>
      <c r="BG198" s="190"/>
      <c r="BH198" s="190"/>
      <c r="BI198" s="104" t="str">
        <f>IF(ISBLANK($BG198),"-",(IF(BD198="-","-",BD198*(Lists!$K$10/100))))</f>
        <v>-</v>
      </c>
      <c r="BJ198" s="104" t="str">
        <f>IF(ISBLANK($BH198),"-",(IF(BD198="-","-",BD198*(Lists!$K$11/100))))</f>
        <v>-</v>
      </c>
      <c r="BK198" s="104" t="str">
        <f>IF(ISBLANK($BG198),"-",(IF(BE198="-","-",BE198*(Lists!$K$10/100))))</f>
        <v>-</v>
      </c>
      <c r="BL198" s="104" t="str">
        <f>IF(ISBLANK($BH198),"-",(IF(BE198="-","-",BE198*(Lists!$K$11/100))))</f>
        <v>-</v>
      </c>
      <c r="BO198" s="104" t="str">
        <f>IF(ISBLANK(BM198),"-",((Lists!$K$19/100)*(IF(BD198&lt;&gt;"-",BD198,BE198))))</f>
        <v>-</v>
      </c>
      <c r="BP198" s="104" t="str">
        <f>IF(ISBLANK(BN198),"-",((Lists!$K$20/100)*(IF(BD198&lt;&gt;"-",BD198,BE198))))</f>
        <v>-</v>
      </c>
    </row>
    <row r="199" spans="1:68" x14ac:dyDescent="0.25">
      <c r="A199" s="187"/>
      <c r="B199" s="188"/>
      <c r="C199" s="97"/>
      <c r="D199" s="97"/>
      <c r="E199" s="97"/>
      <c r="F199" s="97"/>
      <c r="G199" s="189"/>
      <c r="H199" s="189"/>
      <c r="I199" s="75"/>
      <c r="J199" s="96"/>
      <c r="K199" s="96"/>
      <c r="L199" s="76"/>
      <c r="M199" s="74"/>
      <c r="N199" s="74"/>
      <c r="O199" s="74"/>
      <c r="P199" s="74"/>
      <c r="Q199" s="74"/>
      <c r="R199" s="74"/>
      <c r="S199" s="74"/>
      <c r="T199" s="74"/>
      <c r="U199" s="96"/>
      <c r="V199" s="100"/>
      <c r="W199" s="100"/>
      <c r="X199" s="100"/>
      <c r="Y199" s="100"/>
      <c r="Z199" s="100"/>
      <c r="AA199" s="100"/>
      <c r="AB199" s="100"/>
      <c r="AC199" s="100"/>
      <c r="AD199" s="100"/>
      <c r="AE199" s="100"/>
      <c r="AF199" s="100"/>
      <c r="AG199" s="100"/>
      <c r="AH199" s="100"/>
      <c r="AI199" s="100"/>
      <c r="AJ199" s="100"/>
      <c r="AK199" s="100"/>
      <c r="AL199" s="100"/>
      <c r="AM199" s="100"/>
      <c r="AN199" s="100"/>
      <c r="AO199" s="100"/>
      <c r="AP199" s="100"/>
      <c r="AQ199" s="100"/>
      <c r="AR199" s="100"/>
      <c r="AS199" s="100"/>
      <c r="AT199" s="100"/>
      <c r="AU199" s="100"/>
      <c r="AV199" s="100"/>
      <c r="AW199" s="100"/>
      <c r="AX199" s="100"/>
      <c r="AY199" s="100"/>
      <c r="AZ199" s="100"/>
      <c r="BA199" s="100"/>
      <c r="BB199" s="107"/>
      <c r="BC199" s="102" t="str">
        <f>IF((SUMPRODUCT(--(V199:AV199&lt;&gt;""))=0),"0",(VLOOKUP((MATCH("X",$V199:$AV199,0)), Lists!$E$13:$G$39,3)))</f>
        <v>0</v>
      </c>
      <c r="BD199" s="103">
        <f t="shared" si="6"/>
        <v>0</v>
      </c>
      <c r="BE199" s="103" t="str">
        <f t="shared" si="7"/>
        <v>-</v>
      </c>
      <c r="BF199" s="82"/>
      <c r="BG199" s="190"/>
      <c r="BH199" s="190"/>
      <c r="BI199" s="104" t="str">
        <f>IF(ISBLANK($BG199),"-",(IF(BD199="-","-",BD199*(Lists!$K$10/100))))</f>
        <v>-</v>
      </c>
      <c r="BJ199" s="104" t="str">
        <f>IF(ISBLANK($BH199),"-",(IF(BD199="-","-",BD199*(Lists!$K$11/100))))</f>
        <v>-</v>
      </c>
      <c r="BK199" s="104" t="str">
        <f>IF(ISBLANK($BG199),"-",(IF(BE199="-","-",BE199*(Lists!$K$10/100))))</f>
        <v>-</v>
      </c>
      <c r="BL199" s="104" t="str">
        <f>IF(ISBLANK($BH199),"-",(IF(BE199="-","-",BE199*(Lists!$K$11/100))))</f>
        <v>-</v>
      </c>
      <c r="BO199" s="104" t="str">
        <f>IF(ISBLANK(BM199),"-",((Lists!$K$19/100)*(IF(BD199&lt;&gt;"-",BD199,BE199))))</f>
        <v>-</v>
      </c>
      <c r="BP199" s="104" t="str">
        <f>IF(ISBLANK(BN199),"-",((Lists!$K$20/100)*(IF(BD199&lt;&gt;"-",BD199,BE199))))</f>
        <v>-</v>
      </c>
    </row>
    <row r="200" spans="1:68" x14ac:dyDescent="0.25">
      <c r="A200" s="187"/>
      <c r="B200" s="188"/>
      <c r="C200" s="97"/>
      <c r="D200" s="97"/>
      <c r="E200" s="97"/>
      <c r="F200" s="97"/>
      <c r="G200" s="189"/>
      <c r="H200" s="189"/>
      <c r="I200" s="75"/>
      <c r="J200" s="96"/>
      <c r="K200" s="96"/>
      <c r="L200" s="76"/>
      <c r="M200" s="74"/>
      <c r="N200" s="74"/>
      <c r="O200" s="74"/>
      <c r="P200" s="74"/>
      <c r="Q200" s="74"/>
      <c r="R200" s="74"/>
      <c r="S200" s="74"/>
      <c r="T200" s="74"/>
      <c r="U200" s="96"/>
      <c r="V200" s="100"/>
      <c r="W200" s="100"/>
      <c r="X200" s="100"/>
      <c r="Y200" s="100"/>
      <c r="Z200" s="100"/>
      <c r="AA200" s="100"/>
      <c r="AB200" s="100"/>
      <c r="AC200" s="100"/>
      <c r="AD200" s="100"/>
      <c r="AE200" s="100"/>
      <c r="AF200" s="100"/>
      <c r="AG200" s="100"/>
      <c r="AH200" s="100"/>
      <c r="AI200" s="100"/>
      <c r="AJ200" s="100"/>
      <c r="AK200" s="100"/>
      <c r="AL200" s="100"/>
      <c r="AM200" s="100"/>
      <c r="AN200" s="100"/>
      <c r="AO200" s="100"/>
      <c r="AP200" s="100"/>
      <c r="AQ200" s="100"/>
      <c r="AR200" s="100"/>
      <c r="AS200" s="100"/>
      <c r="AT200" s="100"/>
      <c r="AU200" s="100"/>
      <c r="AV200" s="100"/>
      <c r="AW200" s="100"/>
      <c r="AX200" s="100"/>
      <c r="AY200" s="100"/>
      <c r="AZ200" s="100"/>
      <c r="BA200" s="100"/>
      <c r="BB200" s="107"/>
      <c r="BC200" s="102" t="str">
        <f>IF((SUMPRODUCT(--(V200:AV200&lt;&gt;""))=0),"0",(VLOOKUP((MATCH("X",$V200:$AV200,0)), Lists!$E$13:$G$39,3)))</f>
        <v>0</v>
      </c>
      <c r="BD200" s="103">
        <f t="shared" si="6"/>
        <v>0</v>
      </c>
      <c r="BE200" s="103" t="str">
        <f t="shared" si="7"/>
        <v>-</v>
      </c>
      <c r="BF200" s="82"/>
      <c r="BG200" s="190"/>
      <c r="BH200" s="190"/>
      <c r="BI200" s="104" t="str">
        <f>IF(ISBLANK($BG200),"-",(IF(BD200="-","-",BD200*(Lists!$K$10/100))))</f>
        <v>-</v>
      </c>
      <c r="BJ200" s="104" t="str">
        <f>IF(ISBLANK($BH200),"-",(IF(BD200="-","-",BD200*(Lists!$K$11/100))))</f>
        <v>-</v>
      </c>
      <c r="BK200" s="104" t="str">
        <f>IF(ISBLANK($BG200),"-",(IF(BE200="-","-",BE200*(Lists!$K$10/100))))</f>
        <v>-</v>
      </c>
      <c r="BL200" s="104" t="str">
        <f>IF(ISBLANK($BH200),"-",(IF(BE200="-","-",BE200*(Lists!$K$11/100))))</f>
        <v>-</v>
      </c>
      <c r="BO200" s="104" t="str">
        <f>IF(ISBLANK(BM200),"-",((Lists!$K$19/100)*(IF(BD200&lt;&gt;"-",BD200,BE200))))</f>
        <v>-</v>
      </c>
      <c r="BP200" s="104" t="str">
        <f>IF(ISBLANK(BN200),"-",((Lists!$K$20/100)*(IF(BD200&lt;&gt;"-",BD200,BE200))))</f>
        <v>-</v>
      </c>
    </row>
    <row r="201" spans="1:68" x14ac:dyDescent="0.25">
      <c r="A201" s="187"/>
      <c r="B201" s="188"/>
      <c r="C201" s="97"/>
      <c r="D201" s="97"/>
      <c r="E201" s="97"/>
      <c r="F201" s="97"/>
      <c r="G201" s="189"/>
      <c r="H201" s="189"/>
      <c r="I201" s="75"/>
      <c r="J201" s="96"/>
      <c r="K201" s="96"/>
      <c r="L201" s="76"/>
      <c r="M201" s="74"/>
      <c r="N201" s="74"/>
      <c r="O201" s="74"/>
      <c r="P201" s="74"/>
      <c r="Q201" s="74"/>
      <c r="R201" s="74"/>
      <c r="S201" s="74"/>
      <c r="T201" s="74"/>
      <c r="U201" s="96"/>
      <c r="V201" s="100"/>
      <c r="W201" s="100"/>
      <c r="X201" s="100"/>
      <c r="Y201" s="100"/>
      <c r="Z201" s="100"/>
      <c r="AA201" s="100"/>
      <c r="AB201" s="100"/>
      <c r="AC201" s="100"/>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00"/>
      <c r="AY201" s="100"/>
      <c r="AZ201" s="100"/>
      <c r="BA201" s="100"/>
      <c r="BB201" s="107"/>
      <c r="BC201" s="102" t="str">
        <f>IF((SUMPRODUCT(--(V201:AV201&lt;&gt;""))=0),"0",(VLOOKUP((MATCH("X",$V201:$AV201,0)), Lists!$E$13:$G$39,3)))</f>
        <v>0</v>
      </c>
      <c r="BD201" s="103">
        <f t="shared" si="6"/>
        <v>0</v>
      </c>
      <c r="BE201" s="103" t="str">
        <f t="shared" si="7"/>
        <v>-</v>
      </c>
      <c r="BF201" s="82"/>
      <c r="BG201" s="190"/>
      <c r="BH201" s="190"/>
      <c r="BI201" s="104" t="str">
        <f>IF(ISBLANK($BG201),"-",(IF(BD201="-","-",BD201*(Lists!$K$10/100))))</f>
        <v>-</v>
      </c>
      <c r="BJ201" s="104" t="str">
        <f>IF(ISBLANK($BH201),"-",(IF(BD201="-","-",BD201*(Lists!$K$11/100))))</f>
        <v>-</v>
      </c>
      <c r="BK201" s="104" t="str">
        <f>IF(ISBLANK($BG201),"-",(IF(BE201="-","-",BE201*(Lists!$K$10/100))))</f>
        <v>-</v>
      </c>
      <c r="BL201" s="104" t="str">
        <f>IF(ISBLANK($BH201),"-",(IF(BE201="-","-",BE201*(Lists!$K$11/100))))</f>
        <v>-</v>
      </c>
      <c r="BO201" s="104" t="str">
        <f>IF(ISBLANK(BM201),"-",((Lists!$K$19/100)*(IF(BD201&lt;&gt;"-",BD201,BE201))))</f>
        <v>-</v>
      </c>
      <c r="BP201" s="104" t="str">
        <f>IF(ISBLANK(BN201),"-",((Lists!$K$20/100)*(IF(BD201&lt;&gt;"-",BD201,BE201))))</f>
        <v>-</v>
      </c>
    </row>
    <row r="202" spans="1:68" x14ac:dyDescent="0.25">
      <c r="A202" s="187"/>
      <c r="B202" s="188"/>
      <c r="C202" s="97"/>
      <c r="D202" s="97"/>
      <c r="E202" s="97"/>
      <c r="F202" s="97"/>
      <c r="G202" s="189"/>
      <c r="H202" s="189"/>
      <c r="I202" s="75"/>
      <c r="J202" s="96"/>
      <c r="K202" s="96"/>
      <c r="L202" s="76"/>
      <c r="M202" s="74"/>
      <c r="N202" s="74"/>
      <c r="O202" s="74"/>
      <c r="P202" s="74"/>
      <c r="Q202" s="74"/>
      <c r="R202" s="74"/>
      <c r="S202" s="74"/>
      <c r="T202" s="74"/>
      <c r="U202" s="96"/>
      <c r="V202" s="100"/>
      <c r="W202" s="100"/>
      <c r="X202" s="100"/>
      <c r="Y202" s="100"/>
      <c r="Z202" s="100"/>
      <c r="AA202" s="100"/>
      <c r="AB202" s="100"/>
      <c r="AC202" s="100"/>
      <c r="AD202" s="100"/>
      <c r="AE202" s="100"/>
      <c r="AF202" s="100"/>
      <c r="AG202" s="100"/>
      <c r="AH202" s="100"/>
      <c r="AI202" s="100"/>
      <c r="AJ202" s="100"/>
      <c r="AK202" s="100"/>
      <c r="AL202" s="100"/>
      <c r="AM202" s="100"/>
      <c r="AN202" s="100"/>
      <c r="AO202" s="100"/>
      <c r="AP202" s="100"/>
      <c r="AQ202" s="100"/>
      <c r="AR202" s="100"/>
      <c r="AS202" s="100"/>
      <c r="AT202" s="100"/>
      <c r="AU202" s="100"/>
      <c r="AV202" s="100"/>
      <c r="AW202" s="100"/>
      <c r="AX202" s="100"/>
      <c r="AY202" s="100"/>
      <c r="AZ202" s="100"/>
      <c r="BA202" s="100"/>
      <c r="BB202" s="107"/>
      <c r="BC202" s="102" t="str">
        <f>IF((SUMPRODUCT(--(V202:AV202&lt;&gt;""))=0),"0",(VLOOKUP((MATCH("X",$V202:$AV202,0)), Lists!$E$13:$G$39,3)))</f>
        <v>0</v>
      </c>
      <c r="BD202" s="103">
        <f t="shared" si="6"/>
        <v>0</v>
      </c>
      <c r="BE202" s="103" t="str">
        <f t="shared" si="7"/>
        <v>-</v>
      </c>
      <c r="BF202" s="82"/>
      <c r="BG202" s="190"/>
      <c r="BH202" s="190"/>
      <c r="BI202" s="104" t="str">
        <f>IF(ISBLANK($BG202),"-",(IF(BD202="-","-",BD202*(Lists!$K$10/100))))</f>
        <v>-</v>
      </c>
      <c r="BJ202" s="104" t="str">
        <f>IF(ISBLANK($BH202),"-",(IF(BD202="-","-",BD202*(Lists!$K$11/100))))</f>
        <v>-</v>
      </c>
      <c r="BK202" s="104" t="str">
        <f>IF(ISBLANK($BG202),"-",(IF(BE202="-","-",BE202*(Lists!$K$10/100))))</f>
        <v>-</v>
      </c>
      <c r="BL202" s="104" t="str">
        <f>IF(ISBLANK($BH202),"-",(IF(BE202="-","-",BE202*(Lists!$K$11/100))))</f>
        <v>-</v>
      </c>
      <c r="BO202" s="104" t="str">
        <f>IF(ISBLANK(BM202),"-",((Lists!$K$19/100)*(IF(BD202&lt;&gt;"-",BD202,BE202))))</f>
        <v>-</v>
      </c>
      <c r="BP202" s="104" t="str">
        <f>IF(ISBLANK(BN202),"-",((Lists!$K$20/100)*(IF(BD202&lt;&gt;"-",BD202,BE202))))</f>
        <v>-</v>
      </c>
    </row>
    <row r="203" spans="1:68" x14ac:dyDescent="0.25">
      <c r="A203" s="187"/>
      <c r="B203" s="188"/>
      <c r="C203" s="97"/>
      <c r="D203" s="97"/>
      <c r="E203" s="97"/>
      <c r="F203" s="97"/>
      <c r="G203" s="189"/>
      <c r="H203" s="189"/>
      <c r="I203" s="75"/>
      <c r="J203" s="96"/>
      <c r="K203" s="96"/>
      <c r="L203" s="76"/>
      <c r="M203" s="74"/>
      <c r="N203" s="74"/>
      <c r="O203" s="74"/>
      <c r="P203" s="74"/>
      <c r="Q203" s="74"/>
      <c r="R203" s="74"/>
      <c r="S203" s="74"/>
      <c r="T203" s="74"/>
      <c r="U203" s="96"/>
      <c r="V203" s="100"/>
      <c r="W203" s="100"/>
      <c r="X203" s="100"/>
      <c r="Y203" s="100"/>
      <c r="Z203" s="100"/>
      <c r="AA203" s="100"/>
      <c r="AB203" s="100"/>
      <c r="AC203" s="100"/>
      <c r="AD203" s="100"/>
      <c r="AE203" s="100"/>
      <c r="AF203" s="100"/>
      <c r="AG203" s="100"/>
      <c r="AH203" s="100"/>
      <c r="AI203" s="100"/>
      <c r="AJ203" s="100"/>
      <c r="AK203" s="100"/>
      <c r="AL203" s="100"/>
      <c r="AM203" s="100"/>
      <c r="AN203" s="100"/>
      <c r="AO203" s="100"/>
      <c r="AP203" s="100"/>
      <c r="AQ203" s="100"/>
      <c r="AR203" s="100"/>
      <c r="AS203" s="100"/>
      <c r="AT203" s="100"/>
      <c r="AU203" s="100"/>
      <c r="AV203" s="100"/>
      <c r="AW203" s="100"/>
      <c r="AX203" s="100"/>
      <c r="AY203" s="100"/>
      <c r="AZ203" s="100"/>
      <c r="BA203" s="100"/>
      <c r="BB203" s="107"/>
      <c r="BC203" s="102" t="str">
        <f>IF((SUMPRODUCT(--(V203:AV203&lt;&gt;""))=0),"0",(VLOOKUP((MATCH("X",$V203:$AV203,0)), Lists!$E$13:$G$39,3)))</f>
        <v>0</v>
      </c>
      <c r="BD203" s="103">
        <f t="shared" si="6"/>
        <v>0</v>
      </c>
      <c r="BE203" s="103" t="str">
        <f t="shared" si="7"/>
        <v>-</v>
      </c>
      <c r="BF203" s="82"/>
      <c r="BG203" s="190"/>
      <c r="BH203" s="190"/>
      <c r="BI203" s="104" t="str">
        <f>IF(ISBLANK($BG203),"-",(IF(BD203="-","-",BD203*(Lists!$K$10/100))))</f>
        <v>-</v>
      </c>
      <c r="BJ203" s="104" t="str">
        <f>IF(ISBLANK($BH203),"-",(IF(BD203="-","-",BD203*(Lists!$K$11/100))))</f>
        <v>-</v>
      </c>
      <c r="BK203" s="104" t="str">
        <f>IF(ISBLANK($BG203),"-",(IF(BE203="-","-",BE203*(Lists!$K$10/100))))</f>
        <v>-</v>
      </c>
      <c r="BL203" s="104" t="str">
        <f>IF(ISBLANK($BH203),"-",(IF(BE203="-","-",BE203*(Lists!$K$11/100))))</f>
        <v>-</v>
      </c>
      <c r="BO203" s="104" t="str">
        <f>IF(ISBLANK(BM203),"-",((Lists!$K$19/100)*(IF(BD203&lt;&gt;"-",BD203,BE203))))</f>
        <v>-</v>
      </c>
      <c r="BP203" s="104" t="str">
        <f>IF(ISBLANK(BN203),"-",((Lists!$K$20/100)*(IF(BD203&lt;&gt;"-",BD203,BE203))))</f>
        <v>-</v>
      </c>
    </row>
    <row r="204" spans="1:68" x14ac:dyDescent="0.25">
      <c r="A204" s="187"/>
      <c r="B204" s="188"/>
      <c r="C204" s="97"/>
      <c r="D204" s="97"/>
      <c r="E204" s="97"/>
      <c r="F204" s="97"/>
      <c r="G204" s="189"/>
      <c r="H204" s="189"/>
      <c r="I204" s="75"/>
      <c r="J204" s="96"/>
      <c r="K204" s="96"/>
      <c r="L204" s="76"/>
      <c r="M204" s="74"/>
      <c r="N204" s="74"/>
      <c r="O204" s="74"/>
      <c r="P204" s="74"/>
      <c r="Q204" s="74"/>
      <c r="R204" s="74"/>
      <c r="S204" s="74"/>
      <c r="T204" s="74"/>
      <c r="U204" s="96"/>
      <c r="V204" s="100"/>
      <c r="W204" s="100"/>
      <c r="X204" s="100"/>
      <c r="Y204" s="100"/>
      <c r="Z204" s="100"/>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c r="AY204" s="100"/>
      <c r="AZ204" s="100"/>
      <c r="BA204" s="100"/>
      <c r="BB204" s="107"/>
      <c r="BC204" s="102" t="str">
        <f>IF((SUMPRODUCT(--(V204:AV204&lt;&gt;""))=0),"0",(VLOOKUP((MATCH("X",$V204:$AV204,0)), Lists!$E$13:$G$39,3)))</f>
        <v>0</v>
      </c>
      <c r="BD204" s="103">
        <f t="shared" si="6"/>
        <v>0</v>
      </c>
      <c r="BE204" s="103" t="str">
        <f t="shared" si="7"/>
        <v>-</v>
      </c>
      <c r="BF204" s="82"/>
      <c r="BG204" s="190"/>
      <c r="BH204" s="190"/>
      <c r="BI204" s="104" t="str">
        <f>IF(ISBLANK($BG204),"-",(IF(BD204="-","-",BD204*(Lists!$K$10/100))))</f>
        <v>-</v>
      </c>
      <c r="BJ204" s="104" t="str">
        <f>IF(ISBLANK($BH204),"-",(IF(BD204="-","-",BD204*(Lists!$K$11/100))))</f>
        <v>-</v>
      </c>
      <c r="BK204" s="104" t="str">
        <f>IF(ISBLANK($BG204),"-",(IF(BE204="-","-",BE204*(Lists!$K$10/100))))</f>
        <v>-</v>
      </c>
      <c r="BL204" s="104" t="str">
        <f>IF(ISBLANK($BH204),"-",(IF(BE204="-","-",BE204*(Lists!$K$11/100))))</f>
        <v>-</v>
      </c>
      <c r="BO204" s="104" t="str">
        <f>IF(ISBLANK(BM204),"-",((Lists!$K$19/100)*(IF(BD204&lt;&gt;"-",BD204,BE204))))</f>
        <v>-</v>
      </c>
      <c r="BP204" s="104" t="str">
        <f>IF(ISBLANK(BN204),"-",((Lists!$K$20/100)*(IF(BD204&lt;&gt;"-",BD204,BE204))))</f>
        <v>-</v>
      </c>
    </row>
    <row r="205" spans="1:68" x14ac:dyDescent="0.25">
      <c r="A205" s="187"/>
      <c r="B205" s="188"/>
      <c r="C205" s="97"/>
      <c r="D205" s="97"/>
      <c r="E205" s="97"/>
      <c r="F205" s="97"/>
      <c r="G205" s="189"/>
      <c r="H205" s="189"/>
      <c r="I205" s="75"/>
      <c r="J205" s="96"/>
      <c r="K205" s="96"/>
      <c r="L205" s="76"/>
      <c r="M205" s="74"/>
      <c r="N205" s="74"/>
      <c r="O205" s="74"/>
      <c r="P205" s="74"/>
      <c r="Q205" s="74"/>
      <c r="R205" s="74"/>
      <c r="S205" s="74"/>
      <c r="T205" s="74"/>
      <c r="U205" s="96"/>
      <c r="V205" s="100"/>
      <c r="W205" s="100"/>
      <c r="X205" s="100"/>
      <c r="Y205" s="100"/>
      <c r="Z205" s="100"/>
      <c r="AA205" s="100"/>
      <c r="AB205" s="100"/>
      <c r="AC205" s="100"/>
      <c r="AD205" s="100"/>
      <c r="AE205" s="100"/>
      <c r="AF205" s="100"/>
      <c r="AG205" s="100"/>
      <c r="AH205" s="100"/>
      <c r="AI205" s="100"/>
      <c r="AJ205" s="100"/>
      <c r="AK205" s="100"/>
      <c r="AL205" s="100"/>
      <c r="AM205" s="100"/>
      <c r="AN205" s="100"/>
      <c r="AO205" s="100"/>
      <c r="AP205" s="100"/>
      <c r="AQ205" s="100"/>
      <c r="AR205" s="100"/>
      <c r="AS205" s="100"/>
      <c r="AT205" s="100"/>
      <c r="AU205" s="100"/>
      <c r="AV205" s="100"/>
      <c r="AW205" s="100"/>
      <c r="AX205" s="100"/>
      <c r="AY205" s="100"/>
      <c r="AZ205" s="100"/>
      <c r="BA205" s="100"/>
      <c r="BB205" s="107"/>
      <c r="BC205" s="102" t="str">
        <f>IF((SUMPRODUCT(--(V205:AV205&lt;&gt;""))=0),"0",(VLOOKUP((MATCH("X",$V205:$AV205,0)), Lists!$E$13:$G$39,3)))</f>
        <v>0</v>
      </c>
      <c r="BD205" s="103">
        <f t="shared" si="6"/>
        <v>0</v>
      </c>
      <c r="BE205" s="103" t="str">
        <f t="shared" si="7"/>
        <v>-</v>
      </c>
      <c r="BF205" s="82"/>
      <c r="BG205" s="190"/>
      <c r="BH205" s="190"/>
      <c r="BI205" s="104" t="str">
        <f>IF(ISBLANK($BG205),"-",(IF(BD205="-","-",BD205*(Lists!$K$10/100))))</f>
        <v>-</v>
      </c>
      <c r="BJ205" s="104" t="str">
        <f>IF(ISBLANK($BH205),"-",(IF(BD205="-","-",BD205*(Lists!$K$11/100))))</f>
        <v>-</v>
      </c>
      <c r="BK205" s="104" t="str">
        <f>IF(ISBLANK($BG205),"-",(IF(BE205="-","-",BE205*(Lists!$K$10/100))))</f>
        <v>-</v>
      </c>
      <c r="BL205" s="104" t="str">
        <f>IF(ISBLANK($BH205),"-",(IF(BE205="-","-",BE205*(Lists!$K$11/100))))</f>
        <v>-</v>
      </c>
      <c r="BO205" s="104" t="str">
        <f>IF(ISBLANK(BM205),"-",((Lists!$K$19/100)*(IF(BD205&lt;&gt;"-",BD205,BE205))))</f>
        <v>-</v>
      </c>
      <c r="BP205" s="104" t="str">
        <f>IF(ISBLANK(BN205),"-",((Lists!$K$20/100)*(IF(BD205&lt;&gt;"-",BD205,BE205))))</f>
        <v>-</v>
      </c>
    </row>
    <row r="206" spans="1:68" x14ac:dyDescent="0.25">
      <c r="A206" s="187"/>
      <c r="B206" s="188"/>
      <c r="C206" s="97"/>
      <c r="D206" s="97"/>
      <c r="E206" s="97"/>
      <c r="F206" s="97"/>
      <c r="G206" s="189"/>
      <c r="H206" s="189"/>
      <c r="I206" s="75"/>
      <c r="J206" s="96"/>
      <c r="K206" s="96"/>
      <c r="L206" s="76"/>
      <c r="M206" s="74"/>
      <c r="N206" s="74"/>
      <c r="O206" s="74"/>
      <c r="P206" s="74"/>
      <c r="Q206" s="74"/>
      <c r="R206" s="74"/>
      <c r="S206" s="74"/>
      <c r="T206" s="74"/>
      <c r="U206" s="96"/>
      <c r="V206" s="100"/>
      <c r="W206" s="100"/>
      <c r="X206" s="100"/>
      <c r="Y206" s="100"/>
      <c r="Z206" s="100"/>
      <c r="AA206" s="100"/>
      <c r="AB206" s="100"/>
      <c r="AC206" s="100"/>
      <c r="AD206" s="100"/>
      <c r="AE206" s="100"/>
      <c r="AF206" s="100"/>
      <c r="AG206" s="100"/>
      <c r="AH206" s="100"/>
      <c r="AI206" s="100"/>
      <c r="AJ206" s="100"/>
      <c r="AK206" s="100"/>
      <c r="AL206" s="100"/>
      <c r="AM206" s="100"/>
      <c r="AN206" s="100"/>
      <c r="AO206" s="100"/>
      <c r="AP206" s="100"/>
      <c r="AQ206" s="100"/>
      <c r="AR206" s="100"/>
      <c r="AS206" s="100"/>
      <c r="AT206" s="100"/>
      <c r="AU206" s="100"/>
      <c r="AV206" s="100"/>
      <c r="AW206" s="100"/>
      <c r="AX206" s="100"/>
      <c r="AY206" s="100"/>
      <c r="AZ206" s="100"/>
      <c r="BA206" s="100"/>
      <c r="BB206" s="107"/>
      <c r="BC206" s="102" t="str">
        <f>IF((SUMPRODUCT(--(V206:AV206&lt;&gt;""))=0),"0",(VLOOKUP((MATCH("X",$V206:$AV206,0)), Lists!$E$13:$G$39,3)))</f>
        <v>0</v>
      </c>
      <c r="BD206" s="103">
        <f t="shared" si="6"/>
        <v>0</v>
      </c>
      <c r="BE206" s="103" t="str">
        <f t="shared" si="7"/>
        <v>-</v>
      </c>
      <c r="BF206" s="82"/>
      <c r="BG206" s="190"/>
      <c r="BH206" s="190"/>
      <c r="BI206" s="104" t="str">
        <f>IF(ISBLANK($BG206),"-",(IF(BD206="-","-",BD206*(Lists!$K$10/100))))</f>
        <v>-</v>
      </c>
      <c r="BJ206" s="104" t="str">
        <f>IF(ISBLANK($BH206),"-",(IF(BD206="-","-",BD206*(Lists!$K$11/100))))</f>
        <v>-</v>
      </c>
      <c r="BK206" s="104" t="str">
        <f>IF(ISBLANK($BG206),"-",(IF(BE206="-","-",BE206*(Lists!$K$10/100))))</f>
        <v>-</v>
      </c>
      <c r="BL206" s="104" t="str">
        <f>IF(ISBLANK($BH206),"-",(IF(BE206="-","-",BE206*(Lists!$K$11/100))))</f>
        <v>-</v>
      </c>
      <c r="BO206" s="104" t="str">
        <f>IF(ISBLANK(BM206),"-",((Lists!$K$19/100)*(IF(BD206&lt;&gt;"-",BD206,BE206))))</f>
        <v>-</v>
      </c>
      <c r="BP206" s="104" t="str">
        <f>IF(ISBLANK(BN206),"-",((Lists!$K$20/100)*(IF(BD206&lt;&gt;"-",BD206,BE206))))</f>
        <v>-</v>
      </c>
    </row>
    <row r="207" spans="1:68" x14ac:dyDescent="0.25">
      <c r="A207" s="187"/>
      <c r="B207" s="188"/>
      <c r="C207" s="97"/>
      <c r="D207" s="97"/>
      <c r="E207" s="97"/>
      <c r="F207" s="97"/>
      <c r="G207" s="189"/>
      <c r="H207" s="189"/>
      <c r="I207" s="75"/>
      <c r="J207" s="96"/>
      <c r="K207" s="96"/>
      <c r="L207" s="76"/>
      <c r="M207" s="74"/>
      <c r="N207" s="74"/>
      <c r="O207" s="74"/>
      <c r="P207" s="74"/>
      <c r="Q207" s="74"/>
      <c r="R207" s="74"/>
      <c r="S207" s="74"/>
      <c r="T207" s="74"/>
      <c r="U207" s="96"/>
      <c r="V207" s="100"/>
      <c r="W207" s="100"/>
      <c r="X207" s="100"/>
      <c r="Y207" s="100"/>
      <c r="Z207" s="100"/>
      <c r="AA207" s="100"/>
      <c r="AB207" s="100"/>
      <c r="AC207" s="100"/>
      <c r="AD207" s="100"/>
      <c r="AE207" s="100"/>
      <c r="AF207" s="100"/>
      <c r="AG207" s="100"/>
      <c r="AH207" s="100"/>
      <c r="AI207" s="100"/>
      <c r="AJ207" s="100"/>
      <c r="AK207" s="100"/>
      <c r="AL207" s="100"/>
      <c r="AM207" s="100"/>
      <c r="AN207" s="100"/>
      <c r="AO207" s="100"/>
      <c r="AP207" s="100"/>
      <c r="AQ207" s="100"/>
      <c r="AR207" s="100"/>
      <c r="AS207" s="100"/>
      <c r="AT207" s="100"/>
      <c r="AU207" s="100"/>
      <c r="AV207" s="100"/>
      <c r="AW207" s="100"/>
      <c r="AX207" s="100"/>
      <c r="AY207" s="100"/>
      <c r="AZ207" s="100"/>
      <c r="BA207" s="100"/>
      <c r="BB207" s="107"/>
      <c r="BC207" s="102" t="str">
        <f>IF((SUMPRODUCT(--(V207:AV207&lt;&gt;""))=0),"0",(VLOOKUP((MATCH("X",$V207:$AV207,0)), Lists!$E$13:$G$39,3)))</f>
        <v>0</v>
      </c>
      <c r="BD207" s="103">
        <f t="shared" si="6"/>
        <v>0</v>
      </c>
      <c r="BE207" s="103" t="str">
        <f t="shared" si="7"/>
        <v>-</v>
      </c>
      <c r="BF207" s="82"/>
      <c r="BG207" s="190"/>
      <c r="BH207" s="190"/>
      <c r="BI207" s="104" t="str">
        <f>IF(ISBLANK($BG207),"-",(IF(BD207="-","-",BD207*(Lists!$K$10/100))))</f>
        <v>-</v>
      </c>
      <c r="BJ207" s="104" t="str">
        <f>IF(ISBLANK($BH207),"-",(IF(BD207="-","-",BD207*(Lists!$K$11/100))))</f>
        <v>-</v>
      </c>
      <c r="BK207" s="104" t="str">
        <f>IF(ISBLANK($BG207),"-",(IF(BE207="-","-",BE207*(Lists!$K$10/100))))</f>
        <v>-</v>
      </c>
      <c r="BL207" s="104" t="str">
        <f>IF(ISBLANK($BH207),"-",(IF(BE207="-","-",BE207*(Lists!$K$11/100))))</f>
        <v>-</v>
      </c>
      <c r="BO207" s="104" t="str">
        <f>IF(ISBLANK(BM207),"-",((Lists!$K$19/100)*(IF(BD207&lt;&gt;"-",BD207,BE207))))</f>
        <v>-</v>
      </c>
      <c r="BP207" s="104" t="str">
        <f>IF(ISBLANK(BN207),"-",((Lists!$K$20/100)*(IF(BD207&lt;&gt;"-",BD207,BE207))))</f>
        <v>-</v>
      </c>
    </row>
    <row r="208" spans="1:68" x14ac:dyDescent="0.25">
      <c r="A208" s="187"/>
      <c r="B208" s="188"/>
      <c r="C208" s="97"/>
      <c r="D208" s="97"/>
      <c r="E208" s="97"/>
      <c r="F208" s="97"/>
      <c r="G208" s="189"/>
      <c r="H208" s="189"/>
      <c r="I208" s="75"/>
      <c r="J208" s="96"/>
      <c r="K208" s="96"/>
      <c r="L208" s="76"/>
      <c r="M208" s="74"/>
      <c r="N208" s="74"/>
      <c r="O208" s="74"/>
      <c r="P208" s="74"/>
      <c r="Q208" s="74"/>
      <c r="R208" s="74"/>
      <c r="S208" s="74"/>
      <c r="T208" s="74"/>
      <c r="U208" s="96"/>
      <c r="V208" s="100"/>
      <c r="W208" s="100"/>
      <c r="X208" s="100"/>
      <c r="Y208" s="100"/>
      <c r="Z208" s="100"/>
      <c r="AA208" s="100"/>
      <c r="AB208" s="100"/>
      <c r="AC208" s="100"/>
      <c r="AD208" s="100"/>
      <c r="AE208" s="100"/>
      <c r="AF208" s="100"/>
      <c r="AG208" s="100"/>
      <c r="AH208" s="100"/>
      <c r="AI208" s="100"/>
      <c r="AJ208" s="100"/>
      <c r="AK208" s="100"/>
      <c r="AL208" s="100"/>
      <c r="AM208" s="100"/>
      <c r="AN208" s="100"/>
      <c r="AO208" s="100"/>
      <c r="AP208" s="100"/>
      <c r="AQ208" s="100"/>
      <c r="AR208" s="100"/>
      <c r="AS208" s="100"/>
      <c r="AT208" s="100"/>
      <c r="AU208" s="100"/>
      <c r="AV208" s="100"/>
      <c r="AW208" s="100"/>
      <c r="AX208" s="100"/>
      <c r="AY208" s="100"/>
      <c r="AZ208" s="100"/>
      <c r="BA208" s="100"/>
      <c r="BB208" s="107"/>
      <c r="BC208" s="102" t="str">
        <f>IF((SUMPRODUCT(--(V208:AV208&lt;&gt;""))=0),"0",(VLOOKUP((MATCH("X",$V208:$AV208,0)), Lists!$E$13:$G$39,3)))</f>
        <v>0</v>
      </c>
      <c r="BD208" s="103">
        <f t="shared" si="6"/>
        <v>0</v>
      </c>
      <c r="BE208" s="103" t="str">
        <f t="shared" si="7"/>
        <v>-</v>
      </c>
      <c r="BF208" s="82"/>
      <c r="BG208" s="190"/>
      <c r="BH208" s="190"/>
      <c r="BI208" s="104" t="str">
        <f>IF(ISBLANK($BG208),"-",(IF(BD208="-","-",BD208*(Lists!$K$10/100))))</f>
        <v>-</v>
      </c>
      <c r="BJ208" s="104" t="str">
        <f>IF(ISBLANK($BH208),"-",(IF(BD208="-","-",BD208*(Lists!$K$11/100))))</f>
        <v>-</v>
      </c>
      <c r="BK208" s="104" t="str">
        <f>IF(ISBLANK($BG208),"-",(IF(BE208="-","-",BE208*(Lists!$K$10/100))))</f>
        <v>-</v>
      </c>
      <c r="BL208" s="104" t="str">
        <f>IF(ISBLANK($BH208),"-",(IF(BE208="-","-",BE208*(Lists!$K$11/100))))</f>
        <v>-</v>
      </c>
      <c r="BO208" s="104" t="str">
        <f>IF(ISBLANK(BM208),"-",((Lists!$K$19/100)*(IF(BD208&lt;&gt;"-",BD208,BE208))))</f>
        <v>-</v>
      </c>
      <c r="BP208" s="104" t="str">
        <f>IF(ISBLANK(BN208),"-",((Lists!$K$20/100)*(IF(BD208&lt;&gt;"-",BD208,BE208))))</f>
        <v>-</v>
      </c>
    </row>
    <row r="209" spans="1:68" x14ac:dyDescent="0.25">
      <c r="A209" s="187"/>
      <c r="B209" s="188"/>
      <c r="C209" s="97"/>
      <c r="D209" s="97"/>
      <c r="E209" s="97"/>
      <c r="F209" s="97"/>
      <c r="G209" s="189"/>
      <c r="H209" s="189"/>
      <c r="I209" s="75"/>
      <c r="J209" s="96"/>
      <c r="K209" s="96"/>
      <c r="L209" s="76"/>
      <c r="M209" s="74"/>
      <c r="N209" s="74"/>
      <c r="O209" s="74"/>
      <c r="P209" s="74"/>
      <c r="Q209" s="74"/>
      <c r="R209" s="74"/>
      <c r="S209" s="74"/>
      <c r="T209" s="74"/>
      <c r="U209" s="96"/>
      <c r="V209" s="100"/>
      <c r="W209" s="100"/>
      <c r="X209" s="100"/>
      <c r="Y209" s="100"/>
      <c r="Z209" s="100"/>
      <c r="AA209" s="100"/>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0"/>
      <c r="AZ209" s="100"/>
      <c r="BA209" s="100"/>
      <c r="BB209" s="107"/>
      <c r="BC209" s="102" t="str">
        <f>IF((SUMPRODUCT(--(V209:AV209&lt;&gt;""))=0),"0",(VLOOKUP((MATCH("X",$V209:$AV209,0)), Lists!$E$13:$G$39,3)))</f>
        <v>0</v>
      </c>
      <c r="BD209" s="103">
        <f t="shared" si="6"/>
        <v>0</v>
      </c>
      <c r="BE209" s="103" t="str">
        <f t="shared" si="7"/>
        <v>-</v>
      </c>
      <c r="BF209" s="82"/>
      <c r="BG209" s="190"/>
      <c r="BH209" s="190"/>
      <c r="BI209" s="104" t="str">
        <f>IF(ISBLANK($BG209),"-",(IF(BD209="-","-",BD209*(Lists!$K$10/100))))</f>
        <v>-</v>
      </c>
      <c r="BJ209" s="104" t="str">
        <f>IF(ISBLANK($BH209),"-",(IF(BD209="-","-",BD209*(Lists!$K$11/100))))</f>
        <v>-</v>
      </c>
      <c r="BK209" s="104" t="str">
        <f>IF(ISBLANK($BG209),"-",(IF(BE209="-","-",BE209*(Lists!$K$10/100))))</f>
        <v>-</v>
      </c>
      <c r="BL209" s="104" t="str">
        <f>IF(ISBLANK($BH209),"-",(IF(BE209="-","-",BE209*(Lists!$K$11/100))))</f>
        <v>-</v>
      </c>
      <c r="BO209" s="104" t="str">
        <f>IF(ISBLANK(BM209),"-",((Lists!$K$19/100)*(IF(BD209&lt;&gt;"-",BD209,BE209))))</f>
        <v>-</v>
      </c>
      <c r="BP209" s="104" t="str">
        <f>IF(ISBLANK(BN209),"-",((Lists!$K$20/100)*(IF(BD209&lt;&gt;"-",BD209,BE209))))</f>
        <v>-</v>
      </c>
    </row>
    <row r="210" spans="1:68" x14ac:dyDescent="0.25">
      <c r="A210" s="187"/>
      <c r="B210" s="188"/>
      <c r="C210" s="97"/>
      <c r="D210" s="97"/>
      <c r="E210" s="97"/>
      <c r="F210" s="97"/>
      <c r="G210" s="189"/>
      <c r="H210" s="189"/>
      <c r="I210" s="75"/>
      <c r="J210" s="96"/>
      <c r="K210" s="96"/>
      <c r="L210" s="76"/>
      <c r="M210" s="74"/>
      <c r="N210" s="74"/>
      <c r="O210" s="74"/>
      <c r="P210" s="74"/>
      <c r="Q210" s="74"/>
      <c r="R210" s="74"/>
      <c r="S210" s="74"/>
      <c r="T210" s="74"/>
      <c r="U210" s="96"/>
      <c r="V210" s="100"/>
      <c r="W210" s="100"/>
      <c r="X210" s="100"/>
      <c r="Y210" s="100"/>
      <c r="Z210" s="100"/>
      <c r="AA210" s="100"/>
      <c r="AB210" s="100"/>
      <c r="AC210" s="100"/>
      <c r="AD210" s="100"/>
      <c r="AE210" s="100"/>
      <c r="AF210" s="100"/>
      <c r="AG210" s="100"/>
      <c r="AH210" s="100"/>
      <c r="AI210" s="100"/>
      <c r="AJ210" s="100"/>
      <c r="AK210" s="100"/>
      <c r="AL210" s="100"/>
      <c r="AM210" s="100"/>
      <c r="AN210" s="100"/>
      <c r="AO210" s="100"/>
      <c r="AP210" s="100"/>
      <c r="AQ210" s="100"/>
      <c r="AR210" s="100"/>
      <c r="AS210" s="100"/>
      <c r="AT210" s="100"/>
      <c r="AU210" s="100"/>
      <c r="AV210" s="100"/>
      <c r="AW210" s="100"/>
      <c r="AX210" s="100"/>
      <c r="AY210" s="100"/>
      <c r="AZ210" s="100"/>
      <c r="BA210" s="100"/>
      <c r="BB210" s="107"/>
      <c r="BC210" s="102" t="str">
        <f>IF((SUMPRODUCT(--(V210:AV210&lt;&gt;""))=0),"0",(VLOOKUP((MATCH("X",$V210:$AV210,0)), Lists!$E$13:$G$39,3)))</f>
        <v>0</v>
      </c>
      <c r="BD210" s="103">
        <f t="shared" si="6"/>
        <v>0</v>
      </c>
      <c r="BE210" s="103" t="str">
        <f t="shared" si="7"/>
        <v>-</v>
      </c>
      <c r="BF210" s="82"/>
      <c r="BG210" s="190"/>
      <c r="BH210" s="190"/>
      <c r="BI210" s="104" t="str">
        <f>IF(ISBLANK($BG210),"-",(IF(BD210="-","-",BD210*(Lists!$K$10/100))))</f>
        <v>-</v>
      </c>
      <c r="BJ210" s="104" t="str">
        <f>IF(ISBLANK($BH210),"-",(IF(BD210="-","-",BD210*(Lists!$K$11/100))))</f>
        <v>-</v>
      </c>
      <c r="BK210" s="104" t="str">
        <f>IF(ISBLANK($BG210),"-",(IF(BE210="-","-",BE210*(Lists!$K$10/100))))</f>
        <v>-</v>
      </c>
      <c r="BL210" s="104" t="str">
        <f>IF(ISBLANK($BH210),"-",(IF(BE210="-","-",BE210*(Lists!$K$11/100))))</f>
        <v>-</v>
      </c>
      <c r="BO210" s="104" t="str">
        <f>IF(ISBLANK(BM210),"-",((Lists!$K$19/100)*(IF(BD210&lt;&gt;"-",BD210,BE210))))</f>
        <v>-</v>
      </c>
      <c r="BP210" s="104" t="str">
        <f>IF(ISBLANK(BN210),"-",((Lists!$K$20/100)*(IF(BD210&lt;&gt;"-",BD210,BE210))))</f>
        <v>-</v>
      </c>
    </row>
    <row r="211" spans="1:68" x14ac:dyDescent="0.25">
      <c r="A211" s="187"/>
      <c r="B211" s="188"/>
      <c r="C211" s="97"/>
      <c r="D211" s="97"/>
      <c r="E211" s="97"/>
      <c r="F211" s="97"/>
      <c r="G211" s="189"/>
      <c r="H211" s="189"/>
      <c r="I211" s="75"/>
      <c r="J211" s="96"/>
      <c r="K211" s="96"/>
      <c r="L211" s="76"/>
      <c r="M211" s="74"/>
      <c r="N211" s="74"/>
      <c r="O211" s="74"/>
      <c r="P211" s="74"/>
      <c r="Q211" s="74"/>
      <c r="R211" s="74"/>
      <c r="S211" s="74"/>
      <c r="T211" s="74"/>
      <c r="U211" s="96"/>
      <c r="V211" s="100"/>
      <c r="W211" s="100"/>
      <c r="X211" s="100"/>
      <c r="Y211" s="100"/>
      <c r="Z211" s="100"/>
      <c r="AA211" s="100"/>
      <c r="AB211" s="100"/>
      <c r="AC211" s="100"/>
      <c r="AD211" s="100"/>
      <c r="AE211" s="100"/>
      <c r="AF211" s="100"/>
      <c r="AG211" s="100"/>
      <c r="AH211" s="100"/>
      <c r="AI211" s="100"/>
      <c r="AJ211" s="100"/>
      <c r="AK211" s="100"/>
      <c r="AL211" s="100"/>
      <c r="AM211" s="100"/>
      <c r="AN211" s="100"/>
      <c r="AO211" s="100"/>
      <c r="AP211" s="100"/>
      <c r="AQ211" s="100"/>
      <c r="AR211" s="100"/>
      <c r="AS211" s="100"/>
      <c r="AT211" s="100"/>
      <c r="AU211" s="100"/>
      <c r="AV211" s="100"/>
      <c r="AW211" s="100"/>
      <c r="AX211" s="100"/>
      <c r="AY211" s="100"/>
      <c r="AZ211" s="100"/>
      <c r="BA211" s="100"/>
      <c r="BB211" s="107"/>
      <c r="BC211" s="102" t="str">
        <f>IF((SUMPRODUCT(--(V211:AV211&lt;&gt;""))=0),"0",(VLOOKUP((MATCH("X",$V211:$AV211,0)), Lists!$E$13:$G$39,3)))</f>
        <v>0</v>
      </c>
      <c r="BD211" s="103">
        <f t="shared" si="6"/>
        <v>0</v>
      </c>
      <c r="BE211" s="103" t="str">
        <f t="shared" si="7"/>
        <v>-</v>
      </c>
      <c r="BF211" s="82"/>
      <c r="BG211" s="190"/>
      <c r="BH211" s="190"/>
      <c r="BI211" s="104" t="str">
        <f>IF(ISBLANK($BG211),"-",(IF(BD211="-","-",BD211*(Lists!$K$10/100))))</f>
        <v>-</v>
      </c>
      <c r="BJ211" s="104" t="str">
        <f>IF(ISBLANK($BH211),"-",(IF(BD211="-","-",BD211*(Lists!$K$11/100))))</f>
        <v>-</v>
      </c>
      <c r="BK211" s="104" t="str">
        <f>IF(ISBLANK($BG211),"-",(IF(BE211="-","-",BE211*(Lists!$K$10/100))))</f>
        <v>-</v>
      </c>
      <c r="BL211" s="104" t="str">
        <f>IF(ISBLANK($BH211),"-",(IF(BE211="-","-",BE211*(Lists!$K$11/100))))</f>
        <v>-</v>
      </c>
      <c r="BO211" s="104" t="str">
        <f>IF(ISBLANK(BM211),"-",((Lists!$K$19/100)*(IF(BD211&lt;&gt;"-",BD211,BE211))))</f>
        <v>-</v>
      </c>
      <c r="BP211" s="104" t="str">
        <f>IF(ISBLANK(BN211),"-",((Lists!$K$20/100)*(IF(BD211&lt;&gt;"-",BD211,BE211))))</f>
        <v>-</v>
      </c>
    </row>
    <row r="212" spans="1:68" s="203" customFormat="1" x14ac:dyDescent="0.25">
      <c r="A212" s="295"/>
      <c r="B212" s="191"/>
      <c r="C212" s="192"/>
      <c r="D212" s="192"/>
      <c r="E212" s="192"/>
      <c r="F212" s="192"/>
      <c r="G212" s="193"/>
      <c r="H212" s="193"/>
      <c r="I212" s="194"/>
      <c r="J212" s="195"/>
      <c r="K212" s="195"/>
      <c r="L212" s="196"/>
      <c r="M212" s="197"/>
      <c r="N212" s="197"/>
      <c r="O212" s="197"/>
      <c r="P212" s="197"/>
      <c r="Q212" s="197"/>
      <c r="R212" s="197"/>
      <c r="S212" s="197"/>
      <c r="T212" s="197"/>
      <c r="U212" s="195"/>
      <c r="V212" s="198"/>
      <c r="W212" s="198"/>
      <c r="X212" s="198"/>
      <c r="Y212" s="198"/>
      <c r="Z212" s="198"/>
      <c r="AA212" s="198"/>
      <c r="AB212" s="198"/>
      <c r="AC212" s="198"/>
      <c r="AD212" s="198"/>
      <c r="AE212" s="198"/>
      <c r="AF212" s="198"/>
      <c r="AG212" s="198"/>
      <c r="AH212" s="198"/>
      <c r="AI212" s="198"/>
      <c r="AJ212" s="198"/>
      <c r="AK212" s="198"/>
      <c r="AL212" s="198"/>
      <c r="AM212" s="198"/>
      <c r="AN212" s="198"/>
      <c r="AO212" s="198"/>
      <c r="AP212" s="198"/>
      <c r="AQ212" s="198"/>
      <c r="AR212" s="198"/>
      <c r="AS212" s="198"/>
      <c r="AT212" s="198"/>
      <c r="AU212" s="198"/>
      <c r="AV212" s="198"/>
      <c r="AW212" s="198"/>
      <c r="AX212" s="198"/>
      <c r="AY212" s="198"/>
      <c r="AZ212" s="198"/>
      <c r="BA212" s="198"/>
      <c r="BB212" s="199"/>
      <c r="BC212" s="200" t="str">
        <f>IF((SUMPRODUCT(--(V212:AV212&lt;&gt;""))=0),"0",(VLOOKUP((MATCH("X",$V212:$AV212,0)), Lists!$E$13:$G$39,3)))</f>
        <v>0</v>
      </c>
      <c r="BD212" s="199"/>
      <c r="BE212" s="199"/>
      <c r="BF212" s="201"/>
      <c r="BG212" s="202"/>
      <c r="BH212" s="202"/>
      <c r="BI212" s="197"/>
      <c r="BJ212" s="197"/>
      <c r="BK212" s="197"/>
      <c r="BL212" s="197"/>
      <c r="BM212" s="197"/>
      <c r="BN212" s="197"/>
      <c r="BO212" s="197"/>
      <c r="BP212" s="197"/>
    </row>
  </sheetData>
  <sheetProtection algorithmName="SHA-512" hashValue="B58QJkRFjM85vvSz1jLQkdgtSCKM78Je6EDU6GOZNH5+x6Oo95LN/077x/rcikaZX/Mwh39vXW/se1y9DvUBRg==" saltValue="Ks/vM5hx0zauEgM6FtSd8A==" spinCount="100000" sheet="1" objects="1" scenarios="1" formatRows="0"/>
  <mergeCells count="489">
    <mergeCell ref="BI2:BJ2"/>
    <mergeCell ref="BK2:BL2"/>
    <mergeCell ref="T47:T49"/>
    <mergeCell ref="T35:T37"/>
    <mergeCell ref="M35:M37"/>
    <mergeCell ref="N35:N37"/>
    <mergeCell ref="O35:O37"/>
    <mergeCell ref="P35:P37"/>
    <mergeCell ref="Q35:Q37"/>
    <mergeCell ref="R35:R37"/>
    <mergeCell ref="S35:S37"/>
    <mergeCell ref="O47:O49"/>
    <mergeCell ref="M47:M49"/>
    <mergeCell ref="N47:N49"/>
    <mergeCell ref="P42:P45"/>
    <mergeCell ref="Q42:Q45"/>
    <mergeCell ref="R42:R45"/>
    <mergeCell ref="Q47:Q49"/>
    <mergeCell ref="S11:S12"/>
    <mergeCell ref="T11:T12"/>
    <mergeCell ref="R28:R30"/>
    <mergeCell ref="R31:R33"/>
    <mergeCell ref="S31:S33"/>
    <mergeCell ref="T31:T33"/>
    <mergeCell ref="U103:U104"/>
    <mergeCell ref="T103:T104"/>
    <mergeCell ref="U113:U115"/>
    <mergeCell ref="T96:T97"/>
    <mergeCell ref="U96:U97"/>
    <mergeCell ref="U98:U99"/>
    <mergeCell ref="Q9:Q10"/>
    <mergeCell ref="R9:R10"/>
    <mergeCell ref="L15:L16"/>
    <mergeCell ref="M15:M16"/>
    <mergeCell ref="N15:N16"/>
    <mergeCell ref="O15:O16"/>
    <mergeCell ref="P15:P16"/>
    <mergeCell ref="Q15:Q16"/>
    <mergeCell ref="R15:R16"/>
    <mergeCell ref="P11:P12"/>
    <mergeCell ref="Q11:Q12"/>
    <mergeCell ref="R11:R12"/>
    <mergeCell ref="M9:M10"/>
    <mergeCell ref="N9:N10"/>
    <mergeCell ref="O9:O10"/>
    <mergeCell ref="P9:P10"/>
    <mergeCell ref="M31:M33"/>
    <mergeCell ref="N31:N33"/>
    <mergeCell ref="U157:U161"/>
    <mergeCell ref="P145:P146"/>
    <mergeCell ref="Q145:Q146"/>
    <mergeCell ref="R145:R146"/>
    <mergeCell ref="S145:S146"/>
    <mergeCell ref="T145:T146"/>
    <mergeCell ref="P147:P148"/>
    <mergeCell ref="Q147:Q148"/>
    <mergeCell ref="R147:R148"/>
    <mergeCell ref="S147:S148"/>
    <mergeCell ref="T147:T148"/>
    <mergeCell ref="U147:U148"/>
    <mergeCell ref="P152:P153"/>
    <mergeCell ref="P157:P161"/>
    <mergeCell ref="Q157:Q161"/>
    <mergeCell ref="R157:R161"/>
    <mergeCell ref="T152:T153"/>
    <mergeCell ref="U145:U146"/>
    <mergeCell ref="U155:U156"/>
    <mergeCell ref="U150:U151"/>
    <mergeCell ref="U152:U153"/>
    <mergeCell ref="S152:S153"/>
    <mergeCell ref="P168:P171"/>
    <mergeCell ref="Q168:Q171"/>
    <mergeCell ref="R168:R171"/>
    <mergeCell ref="S168:S171"/>
    <mergeCell ref="T168:T171"/>
    <mergeCell ref="U168:U171"/>
    <mergeCell ref="U165:U167"/>
    <mergeCell ref="S165:S167"/>
    <mergeCell ref="T165:T167"/>
    <mergeCell ref="P165:P167"/>
    <mergeCell ref="Q165:Q167"/>
    <mergeCell ref="R165:R167"/>
    <mergeCell ref="C157:C161"/>
    <mergeCell ref="D157:D161"/>
    <mergeCell ref="E155:E156"/>
    <mergeCell ref="D155:D156"/>
    <mergeCell ref="C155:C156"/>
    <mergeCell ref="L155:L156"/>
    <mergeCell ref="K155:K156"/>
    <mergeCell ref="C147:C148"/>
    <mergeCell ref="D147:D148"/>
    <mergeCell ref="E152:E153"/>
    <mergeCell ref="F152:F153"/>
    <mergeCell ref="K152:K153"/>
    <mergeCell ref="L152:L153"/>
    <mergeCell ref="C152:C153"/>
    <mergeCell ref="D152:D153"/>
    <mergeCell ref="U117:U119"/>
    <mergeCell ref="N117:N119"/>
    <mergeCell ref="M117:M119"/>
    <mergeCell ref="L117:L119"/>
    <mergeCell ref="Q121:Q123"/>
    <mergeCell ref="U135:U136"/>
    <mergeCell ref="L135:L136"/>
    <mergeCell ref="M135:M136"/>
    <mergeCell ref="N135:N136"/>
    <mergeCell ref="O135:O136"/>
    <mergeCell ref="P135:P136"/>
    <mergeCell ref="Q135:Q136"/>
    <mergeCell ref="R135:R136"/>
    <mergeCell ref="S135:S136"/>
    <mergeCell ref="T135:T136"/>
    <mergeCell ref="R121:R123"/>
    <mergeCell ref="S121:S123"/>
    <mergeCell ref="T117:T119"/>
    <mergeCell ref="S117:S119"/>
    <mergeCell ref="R117:R119"/>
    <mergeCell ref="Q117:Q119"/>
    <mergeCell ref="P117:P119"/>
    <mergeCell ref="U121:U123"/>
    <mergeCell ref="T129:T130"/>
    <mergeCell ref="U129:U130"/>
    <mergeCell ref="M121:M123"/>
    <mergeCell ref="N121:N123"/>
    <mergeCell ref="C15:C16"/>
    <mergeCell ref="D15:D16"/>
    <mergeCell ref="E15:E16"/>
    <mergeCell ref="F15:F16"/>
    <mergeCell ref="U15:U16"/>
    <mergeCell ref="R23:R25"/>
    <mergeCell ref="S23:S25"/>
    <mergeCell ref="T23:T25"/>
    <mergeCell ref="C23:C25"/>
    <mergeCell ref="D23:D25"/>
    <mergeCell ref="U23:U25"/>
    <mergeCell ref="M23:M25"/>
    <mergeCell ref="U20:U22"/>
    <mergeCell ref="T20:T22"/>
    <mergeCell ref="S20:S22"/>
    <mergeCell ref="R20:R22"/>
    <mergeCell ref="C129:C130"/>
    <mergeCell ref="D129:D130"/>
    <mergeCell ref="E129:E130"/>
    <mergeCell ref="F129:F130"/>
    <mergeCell ref="L20:L22"/>
    <mergeCell ref="E13:E14"/>
    <mergeCell ref="F13:F14"/>
    <mergeCell ref="P129:P130"/>
    <mergeCell ref="Q129:Q130"/>
    <mergeCell ref="R129:R130"/>
    <mergeCell ref="S129:S130"/>
    <mergeCell ref="K129:K130"/>
    <mergeCell ref="L129:L130"/>
    <mergeCell ref="M129:M130"/>
    <mergeCell ref="N129:N130"/>
    <mergeCell ref="O129:O130"/>
    <mergeCell ref="R113:R115"/>
    <mergeCell ref="Q113:Q115"/>
    <mergeCell ref="P113:P115"/>
    <mergeCell ref="O113:O115"/>
    <mergeCell ref="K96:K97"/>
    <mergeCell ref="S101:S102"/>
    <mergeCell ref="P101:P102"/>
    <mergeCell ref="Q101:Q102"/>
    <mergeCell ref="R96:R97"/>
    <mergeCell ref="S96:S97"/>
    <mergeCell ref="O96:O97"/>
    <mergeCell ref="E11:E12"/>
    <mergeCell ref="F11:F12"/>
    <mergeCell ref="C2:E2"/>
    <mergeCell ref="U75:U77"/>
    <mergeCell ref="I23:I24"/>
    <mergeCell ref="L11:L12"/>
    <mergeCell ref="M11:M12"/>
    <mergeCell ref="N11:N12"/>
    <mergeCell ref="O11:O12"/>
    <mergeCell ref="U35:U37"/>
    <mergeCell ref="I47:I49"/>
    <mergeCell ref="U47:U49"/>
    <mergeCell ref="L47:L49"/>
    <mergeCell ref="C9:C10"/>
    <mergeCell ref="D9:D10"/>
    <mergeCell ref="N23:N25"/>
    <mergeCell ref="O23:O25"/>
    <mergeCell ref="P23:P25"/>
    <mergeCell ref="Q23:Q25"/>
    <mergeCell ref="E9:E10"/>
    <mergeCell ref="F9:F10"/>
    <mergeCell ref="Q20:Q22"/>
    <mergeCell ref="K20:K22"/>
    <mergeCell ref="E20:E22"/>
    <mergeCell ref="I9:I10"/>
    <mergeCell ref="U9:U10"/>
    <mergeCell ref="C13:C14"/>
    <mergeCell ref="D13:D14"/>
    <mergeCell ref="U11:U12"/>
    <mergeCell ref="C163:C167"/>
    <mergeCell ref="D163:D167"/>
    <mergeCell ref="K157:K161"/>
    <mergeCell ref="K163:K167"/>
    <mergeCell ref="C92:C95"/>
    <mergeCell ref="D92:D95"/>
    <mergeCell ref="C113:C115"/>
    <mergeCell ref="D113:D115"/>
    <mergeCell ref="K113:K115"/>
    <mergeCell ref="C117:C119"/>
    <mergeCell ref="D117:D119"/>
    <mergeCell ref="E117:E119"/>
    <mergeCell ref="F117:F119"/>
    <mergeCell ref="K117:K119"/>
    <mergeCell ref="H101:H102"/>
    <mergeCell ref="E98:E99"/>
    <mergeCell ref="F98:F99"/>
    <mergeCell ref="C11:C12"/>
    <mergeCell ref="D11:D12"/>
    <mergeCell ref="U92:U95"/>
    <mergeCell ref="O87:O88"/>
    <mergeCell ref="P87:P88"/>
    <mergeCell ref="T101:T102"/>
    <mergeCell ref="S98:S99"/>
    <mergeCell ref="U101:U102"/>
    <mergeCell ref="L92:L95"/>
    <mergeCell ref="M92:M95"/>
    <mergeCell ref="N92:N95"/>
    <mergeCell ref="O92:O95"/>
    <mergeCell ref="P92:P95"/>
    <mergeCell ref="Q92:Q95"/>
    <mergeCell ref="R92:R95"/>
    <mergeCell ref="S92:S95"/>
    <mergeCell ref="T92:T95"/>
    <mergeCell ref="Q87:Q88"/>
    <mergeCell ref="U89:U91"/>
    <mergeCell ref="T98:T99"/>
    <mergeCell ref="L96:L97"/>
    <mergeCell ref="M101:M102"/>
    <mergeCell ref="N101:N102"/>
    <mergeCell ref="O101:O102"/>
    <mergeCell ref="M96:M97"/>
    <mergeCell ref="R101:R102"/>
    <mergeCell ref="K168:K171"/>
    <mergeCell ref="L168:L171"/>
    <mergeCell ref="M168:M171"/>
    <mergeCell ref="N168:N171"/>
    <mergeCell ref="O168:O171"/>
    <mergeCell ref="O121:O123"/>
    <mergeCell ref="P121:P123"/>
    <mergeCell ref="R150:R151"/>
    <mergeCell ref="R152:R153"/>
    <mergeCell ref="K150:K151"/>
    <mergeCell ref="L150:L151"/>
    <mergeCell ref="N157:N161"/>
    <mergeCell ref="O157:O161"/>
    <mergeCell ref="L157:L161"/>
    <mergeCell ref="M157:M161"/>
    <mergeCell ref="K147:K148"/>
    <mergeCell ref="L147:L148"/>
    <mergeCell ref="M150:M151"/>
    <mergeCell ref="N150:N151"/>
    <mergeCell ref="O150:O151"/>
    <mergeCell ref="M152:M153"/>
    <mergeCell ref="N152:N153"/>
    <mergeCell ref="O152:O153"/>
    <mergeCell ref="Q152:Q153"/>
    <mergeCell ref="L165:L167"/>
    <mergeCell ref="M165:M167"/>
    <mergeCell ref="N165:N167"/>
    <mergeCell ref="O165:O167"/>
    <mergeCell ref="M145:M146"/>
    <mergeCell ref="T155:T156"/>
    <mergeCell ref="S155:S156"/>
    <mergeCell ref="R155:R156"/>
    <mergeCell ref="Q155:Q156"/>
    <mergeCell ref="P155:P156"/>
    <mergeCell ref="O155:O156"/>
    <mergeCell ref="N155:N156"/>
    <mergeCell ref="M155:M156"/>
    <mergeCell ref="O145:O146"/>
    <mergeCell ref="O147:O148"/>
    <mergeCell ref="P150:P151"/>
    <mergeCell ref="Q150:Q151"/>
    <mergeCell ref="S157:S161"/>
    <mergeCell ref="T157:T161"/>
    <mergeCell ref="K103:K104"/>
    <mergeCell ref="M87:M88"/>
    <mergeCell ref="T121:T123"/>
    <mergeCell ref="M113:M115"/>
    <mergeCell ref="O117:O119"/>
    <mergeCell ref="L145:L146"/>
    <mergeCell ref="N145:N146"/>
    <mergeCell ref="M147:M148"/>
    <mergeCell ref="N147:N148"/>
    <mergeCell ref="T113:T115"/>
    <mergeCell ref="S113:S115"/>
    <mergeCell ref="S103:S104"/>
    <mergeCell ref="R103:R104"/>
    <mergeCell ref="Q103:Q104"/>
    <mergeCell ref="P103:P104"/>
    <mergeCell ref="P98:P99"/>
    <mergeCell ref="Q98:Q99"/>
    <mergeCell ref="R98:R99"/>
    <mergeCell ref="S89:S91"/>
    <mergeCell ref="R87:R88"/>
    <mergeCell ref="S87:S88"/>
    <mergeCell ref="P96:P97"/>
    <mergeCell ref="K87:K88"/>
    <mergeCell ref="L87:L88"/>
    <mergeCell ref="L89:L91"/>
    <mergeCell ref="L98:L99"/>
    <mergeCell ref="C78:C79"/>
    <mergeCell ref="N96:N97"/>
    <mergeCell ref="D78:D79"/>
    <mergeCell ref="D75:D77"/>
    <mergeCell ref="K98:K99"/>
    <mergeCell ref="K89:K91"/>
    <mergeCell ref="L75:L77"/>
    <mergeCell ref="K75:K77"/>
    <mergeCell ref="M89:M91"/>
    <mergeCell ref="N89:N91"/>
    <mergeCell ref="K92:K95"/>
    <mergeCell ref="N87:N88"/>
    <mergeCell ref="O89:O91"/>
    <mergeCell ref="D101:D102"/>
    <mergeCell ref="E101:E102"/>
    <mergeCell ref="F101:F102"/>
    <mergeCell ref="C98:C99"/>
    <mergeCell ref="D98:D99"/>
    <mergeCell ref="C89:C91"/>
    <mergeCell ref="D89:D91"/>
    <mergeCell ref="C96:C97"/>
    <mergeCell ref="D96:D97"/>
    <mergeCell ref="E96:E97"/>
    <mergeCell ref="F96:F97"/>
    <mergeCell ref="E89:E91"/>
    <mergeCell ref="F89:F91"/>
    <mergeCell ref="K101:K102"/>
    <mergeCell ref="L101:L102"/>
    <mergeCell ref="N113:N115"/>
    <mergeCell ref="Q96:Q97"/>
    <mergeCell ref="O103:O104"/>
    <mergeCell ref="N103:N104"/>
    <mergeCell ref="L113:L115"/>
    <mergeCell ref="M98:M99"/>
    <mergeCell ref="N98:N99"/>
    <mergeCell ref="O98:O99"/>
    <mergeCell ref="M103:M104"/>
    <mergeCell ref="L103:L104"/>
    <mergeCell ref="K47:K49"/>
    <mergeCell ref="F59:F60"/>
    <mergeCell ref="D59:D60"/>
    <mergeCell ref="C59:C60"/>
    <mergeCell ref="K59:K60"/>
    <mergeCell ref="Q28:Q30"/>
    <mergeCell ref="P31:P33"/>
    <mergeCell ref="Q31:Q33"/>
    <mergeCell ref="E39:E41"/>
    <mergeCell ref="K39:K41"/>
    <mergeCell ref="L39:L41"/>
    <mergeCell ref="M59:M60"/>
    <mergeCell ref="Q56:Q57"/>
    <mergeCell ref="O59:O60"/>
    <mergeCell ref="N59:N60"/>
    <mergeCell ref="C56:C57"/>
    <mergeCell ref="P47:P49"/>
    <mergeCell ref="L59:L60"/>
    <mergeCell ref="M2:T2"/>
    <mergeCell ref="V2:BD2"/>
    <mergeCell ref="M39:M41"/>
    <mergeCell ref="N39:N41"/>
    <mergeCell ref="U56:U57"/>
    <mergeCell ref="U59:U60"/>
    <mergeCell ref="T59:T60"/>
    <mergeCell ref="S59:S60"/>
    <mergeCell ref="R59:R60"/>
    <mergeCell ref="Q59:Q60"/>
    <mergeCell ref="P59:P60"/>
    <mergeCell ref="T56:T57"/>
    <mergeCell ref="S56:S57"/>
    <mergeCell ref="P56:P57"/>
    <mergeCell ref="U13:U14"/>
    <mergeCell ref="P20:P22"/>
    <mergeCell ref="O20:O22"/>
    <mergeCell ref="N20:N22"/>
    <mergeCell ref="M20:M22"/>
    <mergeCell ref="T87:T88"/>
    <mergeCell ref="U87:U88"/>
    <mergeCell ref="T9:T10"/>
    <mergeCell ref="S9:S10"/>
    <mergeCell ref="P89:P91"/>
    <mergeCell ref="Q89:Q91"/>
    <mergeCell ref="R89:R91"/>
    <mergeCell ref="S42:S45"/>
    <mergeCell ref="T42:T45"/>
    <mergeCell ref="S47:S49"/>
    <mergeCell ref="S15:S16"/>
    <mergeCell ref="T15:T16"/>
    <mergeCell ref="T39:T41"/>
    <mergeCell ref="S39:S41"/>
    <mergeCell ref="U31:U33"/>
    <mergeCell ref="U42:U45"/>
    <mergeCell ref="R39:R41"/>
    <mergeCell ref="Q39:Q41"/>
    <mergeCell ref="P39:P41"/>
    <mergeCell ref="R56:R57"/>
    <mergeCell ref="R47:R49"/>
    <mergeCell ref="T89:T91"/>
    <mergeCell ref="L9:L10"/>
    <mergeCell ref="S28:S30"/>
    <mergeCell ref="U28:U30"/>
    <mergeCell ref="T28:T30"/>
    <mergeCell ref="P28:P30"/>
    <mergeCell ref="M28:M30"/>
    <mergeCell ref="N28:N30"/>
    <mergeCell ref="O28:O30"/>
    <mergeCell ref="D56:D57"/>
    <mergeCell ref="F56:F57"/>
    <mergeCell ref="K56:K57"/>
    <mergeCell ref="O56:O57"/>
    <mergeCell ref="N56:N57"/>
    <mergeCell ref="M56:M57"/>
    <mergeCell ref="L56:L57"/>
    <mergeCell ref="O39:O41"/>
    <mergeCell ref="O31:O33"/>
    <mergeCell ref="M42:M45"/>
    <mergeCell ref="N42:N45"/>
    <mergeCell ref="O42:O45"/>
    <mergeCell ref="K42:K45"/>
    <mergeCell ref="L42:L45"/>
    <mergeCell ref="U39:U41"/>
    <mergeCell ref="D39:D41"/>
    <mergeCell ref="F87:F88"/>
    <mergeCell ref="H98:H99"/>
    <mergeCell ref="K23:K25"/>
    <mergeCell ref="L23:L25"/>
    <mergeCell ref="L28:L30"/>
    <mergeCell ref="E42:E45"/>
    <mergeCell ref="C28:C30"/>
    <mergeCell ref="D28:D30"/>
    <mergeCell ref="I28:I30"/>
    <mergeCell ref="D35:D37"/>
    <mergeCell ref="C35:C37"/>
    <mergeCell ref="E35:E37"/>
    <mergeCell ref="K35:K37"/>
    <mergeCell ref="K28:K30"/>
    <mergeCell ref="I43:I45"/>
    <mergeCell ref="C31:C33"/>
    <mergeCell ref="D31:D33"/>
    <mergeCell ref="I31:I33"/>
    <mergeCell ref="C39:C41"/>
    <mergeCell ref="L35:L37"/>
    <mergeCell ref="C42:C45"/>
    <mergeCell ref="D42:D45"/>
    <mergeCell ref="K31:K33"/>
    <mergeCell ref="L31:L33"/>
    <mergeCell ref="C103:C104"/>
    <mergeCell ref="D103:D104"/>
    <mergeCell ref="D20:D22"/>
    <mergeCell ref="C20:C22"/>
    <mergeCell ref="C47:C49"/>
    <mergeCell ref="D47:D49"/>
    <mergeCell ref="E47:E49"/>
    <mergeCell ref="C101:C102"/>
    <mergeCell ref="C87:C88"/>
    <mergeCell ref="D87:D88"/>
    <mergeCell ref="E87:E88"/>
    <mergeCell ref="C75:C77"/>
    <mergeCell ref="I89:I91"/>
    <mergeCell ref="S150:S151"/>
    <mergeCell ref="T150:T151"/>
    <mergeCell ref="C145:C146"/>
    <mergeCell ref="D145:D146"/>
    <mergeCell ref="E145:E146"/>
    <mergeCell ref="F145:F146"/>
    <mergeCell ref="I145:I146"/>
    <mergeCell ref="E150:E151"/>
    <mergeCell ref="F150:F151"/>
    <mergeCell ref="C150:C151"/>
    <mergeCell ref="D150:D151"/>
    <mergeCell ref="E147:E148"/>
    <mergeCell ref="F147:F148"/>
    <mergeCell ref="E135:E136"/>
    <mergeCell ref="F135:F136"/>
    <mergeCell ref="I135:I136"/>
    <mergeCell ref="C141:C142"/>
    <mergeCell ref="D141:D142"/>
    <mergeCell ref="E113:E115"/>
    <mergeCell ref="H96:H97"/>
    <mergeCell ref="E92:E95"/>
    <mergeCell ref="C135:C136"/>
    <mergeCell ref="D135:D136"/>
  </mergeCells>
  <pageMargins left="0.25" right="0.25" top="0.75" bottom="0.75" header="0.3" footer="0.3"/>
  <pageSetup paperSize="8" scale="8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Lists!$A$10:$A$19</xm:f>
          </x14:formula1>
          <xm:sqref>A4:A212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sheetPr>
  <dimension ref="A1:B10"/>
  <sheetViews>
    <sheetView zoomScaleNormal="100" zoomScaleSheetLayoutView="115"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254</v>
      </c>
    </row>
    <row r="4" spans="1:2" x14ac:dyDescent="0.25">
      <c r="A4" s="4" t="s">
        <v>190</v>
      </c>
      <c r="B4" s="10">
        <v>64</v>
      </c>
    </row>
    <row r="5" spans="1:2" x14ac:dyDescent="0.25">
      <c r="A5" s="4" t="s">
        <v>191</v>
      </c>
      <c r="B5" s="6" t="s">
        <v>216</v>
      </c>
    </row>
    <row r="6" spans="1:2" x14ac:dyDescent="0.25">
      <c r="A6" s="4" t="s">
        <v>193</v>
      </c>
      <c r="B6" s="7" t="s">
        <v>255</v>
      </c>
    </row>
    <row r="7" spans="1:2" ht="51" x14ac:dyDescent="0.25">
      <c r="A7" s="4" t="s">
        <v>195</v>
      </c>
      <c r="B7" s="8" t="s">
        <v>554</v>
      </c>
    </row>
    <row r="8" spans="1:2" ht="25.5" x14ac:dyDescent="0.25">
      <c r="A8" s="4" t="s">
        <v>197</v>
      </c>
      <c r="B8" s="8" t="s">
        <v>555</v>
      </c>
    </row>
    <row r="9" spans="1:2" ht="25.5" x14ac:dyDescent="0.25">
      <c r="A9" s="4" t="s">
        <v>199</v>
      </c>
      <c r="B9" s="7" t="s">
        <v>556</v>
      </c>
    </row>
    <row r="10" spans="1:2" ht="25.5" x14ac:dyDescent="0.25">
      <c r="A10" s="9" t="s">
        <v>201</v>
      </c>
      <c r="B10" s="7" t="s">
        <v>256</v>
      </c>
    </row>
  </sheetData>
  <sheetProtection algorithmName="SHA-512" hashValue="KQZhESFnhS98SJ6abYiOm457MOmOjEnUwIPgkFIaw5nnUi2PBu1DUdanvfnkOz/zrOwoyJzZPHPAXT5QrssYxQ==" saltValue="pIqqg1uoAUHv6FPL6rZ8bA==" spinCount="100000" sheet="1" objects="1" scenarios="1"/>
  <pageMargins left="0.7" right="0.7" top="0.75" bottom="0.75" header="0.3" footer="0.3"/>
  <pageSetup paperSize="9" scale="8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sheetPr>
  <dimension ref="A1:B10"/>
  <sheetViews>
    <sheetView zoomScaleNormal="100" zoomScaleSheetLayoutView="115"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257</v>
      </c>
    </row>
    <row r="4" spans="1:2" x14ac:dyDescent="0.25">
      <c r="A4" s="4" t="s">
        <v>190</v>
      </c>
      <c r="B4" s="10">
        <v>50</v>
      </c>
    </row>
    <row r="5" spans="1:2" x14ac:dyDescent="0.25">
      <c r="A5" s="4" t="s">
        <v>191</v>
      </c>
      <c r="B5" s="6" t="s">
        <v>216</v>
      </c>
    </row>
    <row r="6" spans="1:2" x14ac:dyDescent="0.25">
      <c r="A6" s="4" t="s">
        <v>193</v>
      </c>
      <c r="B6" s="7" t="s">
        <v>258</v>
      </c>
    </row>
    <row r="7" spans="1:2" ht="51" x14ac:dyDescent="0.25">
      <c r="A7" s="4" t="s">
        <v>195</v>
      </c>
      <c r="B7" s="8" t="s">
        <v>259</v>
      </c>
    </row>
    <row r="8" spans="1:2" ht="25.5" x14ac:dyDescent="0.25">
      <c r="A8" s="4" t="s">
        <v>197</v>
      </c>
      <c r="B8" s="8" t="s">
        <v>260</v>
      </c>
    </row>
    <row r="9" spans="1:2" x14ac:dyDescent="0.25">
      <c r="A9" s="4" t="s">
        <v>199</v>
      </c>
      <c r="B9" s="7" t="s">
        <v>261</v>
      </c>
    </row>
    <row r="10" spans="1:2" ht="89.25" x14ac:dyDescent="0.25">
      <c r="A10" s="9" t="s">
        <v>201</v>
      </c>
      <c r="B10" s="7" t="s">
        <v>262</v>
      </c>
    </row>
  </sheetData>
  <sheetProtection algorithmName="SHA-512" hashValue="qO7op7lfsSjhrMhph1N3YvmYoq3zNhSMBfC34io0G827Sm8sbe1lNMz3RfNFdJtD+OqGUB2PC97sJjOhuXa/2g==" saltValue="Ei5xYjhj5rY3pIb0g8tkdA==" spinCount="100000" sheet="1" objects="1" scenarios="1"/>
  <pageMargins left="0.7" right="0.7" top="0.75" bottom="0.75" header="0.3" footer="0.3"/>
  <pageSetup paperSize="9" scale="8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79998168889431442"/>
  </sheetPr>
  <dimension ref="A1:B10"/>
  <sheetViews>
    <sheetView topLeftCell="A3" zoomScaleNormal="100" zoomScaleSheetLayoutView="115"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263</v>
      </c>
    </row>
    <row r="4" spans="1:2" x14ac:dyDescent="0.25">
      <c r="A4" s="4" t="s">
        <v>190</v>
      </c>
      <c r="B4" s="10">
        <v>105000</v>
      </c>
    </row>
    <row r="5" spans="1:2" x14ac:dyDescent="0.25">
      <c r="A5" s="4" t="s">
        <v>191</v>
      </c>
      <c r="B5" s="6" t="s">
        <v>192</v>
      </c>
    </row>
    <row r="6" spans="1:2" ht="25.5" x14ac:dyDescent="0.25">
      <c r="A6" s="4" t="s">
        <v>193</v>
      </c>
      <c r="B6" s="7" t="s">
        <v>264</v>
      </c>
    </row>
    <row r="7" spans="1:2" ht="51" x14ac:dyDescent="0.25">
      <c r="A7" s="4" t="s">
        <v>195</v>
      </c>
      <c r="B7" s="8" t="s">
        <v>265</v>
      </c>
    </row>
    <row r="8" spans="1:2" ht="76.5" x14ac:dyDescent="0.25">
      <c r="A8" s="4" t="s">
        <v>197</v>
      </c>
      <c r="B8" s="8" t="s">
        <v>266</v>
      </c>
    </row>
    <row r="9" spans="1:2" ht="63.75" x14ac:dyDescent="0.25">
      <c r="A9" s="4" t="s">
        <v>199</v>
      </c>
      <c r="B9" s="7" t="s">
        <v>267</v>
      </c>
    </row>
    <row r="10" spans="1:2" ht="25.5" x14ac:dyDescent="0.25">
      <c r="A10" s="9" t="s">
        <v>201</v>
      </c>
      <c r="B10" s="7" t="s">
        <v>268</v>
      </c>
    </row>
  </sheetData>
  <sheetProtection algorithmName="SHA-512" hashValue="U+/GpTrx+im7tRv5XYfB6/EoTc4onQ8TMxYm/oTcWLo0PFIiKBpse7VL4wpVEJrOudbohG1DbfqCiR2ljjr4/w==" saltValue="h7uScn006XdW9uH1Lg2UbA==" spinCount="100000" sheet="1" objects="1" scenarios="1"/>
  <pageMargins left="0.7" right="0.7" top="0.75" bottom="0.75" header="0.3" footer="0.3"/>
  <pageSetup paperSize="9" scale="8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79998168889431442"/>
  </sheetPr>
  <dimension ref="A1:B10"/>
  <sheetViews>
    <sheetView zoomScaleNormal="100" zoomScaleSheetLayoutView="130"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458</v>
      </c>
    </row>
    <row r="4" spans="1:2" x14ac:dyDescent="0.25">
      <c r="A4" s="4" t="s">
        <v>190</v>
      </c>
      <c r="B4" s="10">
        <v>242</v>
      </c>
    </row>
    <row r="5" spans="1:2" x14ac:dyDescent="0.25">
      <c r="A5" s="4" t="s">
        <v>191</v>
      </c>
      <c r="B5" s="6" t="s">
        <v>216</v>
      </c>
    </row>
    <row r="6" spans="1:2" x14ac:dyDescent="0.25">
      <c r="A6" s="4" t="s">
        <v>193</v>
      </c>
      <c r="B6" s="7" t="s">
        <v>459</v>
      </c>
    </row>
    <row r="7" spans="1:2" ht="64.5" customHeight="1" x14ac:dyDescent="0.25">
      <c r="A7" s="4" t="s">
        <v>195</v>
      </c>
      <c r="B7" s="8" t="s">
        <v>461</v>
      </c>
    </row>
    <row r="8" spans="1:2" ht="30" customHeight="1" x14ac:dyDescent="0.25">
      <c r="A8" s="4" t="s">
        <v>197</v>
      </c>
      <c r="B8" s="8" t="s">
        <v>460</v>
      </c>
    </row>
    <row r="9" spans="1:2" ht="34.5" customHeight="1" x14ac:dyDescent="0.25">
      <c r="A9" s="4" t="s">
        <v>199</v>
      </c>
      <c r="B9" s="7" t="s">
        <v>462</v>
      </c>
    </row>
    <row r="10" spans="1:2" ht="46.5" customHeight="1" x14ac:dyDescent="0.25">
      <c r="A10" s="9" t="s">
        <v>201</v>
      </c>
      <c r="B10" s="7" t="s">
        <v>463</v>
      </c>
    </row>
  </sheetData>
  <sheetProtection algorithmName="SHA-512" hashValue="83Mir//p77PExH7VBCW779w93EeSHuJF0SI2FKkxoKvUCHATzOSZpYFmF7iXMK/A+CMpIDOrKZM8By1axgG48A==" saltValue="bZ5LLclbhwlNbCAKCJMPfA==" spinCount="100000" sheet="1" objects="1" scenarios="1"/>
  <pageMargins left="0.7" right="0.7" top="0.75" bottom="0.75" header="0.3" footer="0.3"/>
  <pageSetup paperSize="9" scale="8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79998168889431442"/>
  </sheetPr>
  <dimension ref="A1:B10"/>
  <sheetViews>
    <sheetView topLeftCell="A7" zoomScaleNormal="100" zoomScaleSheetLayoutView="130"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464</v>
      </c>
    </row>
    <row r="4" spans="1:2" x14ac:dyDescent="0.25">
      <c r="A4" s="4" t="s">
        <v>190</v>
      </c>
      <c r="B4" s="10">
        <v>175</v>
      </c>
    </row>
    <row r="5" spans="1:2" x14ac:dyDescent="0.25">
      <c r="A5" s="4" t="s">
        <v>191</v>
      </c>
      <c r="B5" s="6" t="s">
        <v>216</v>
      </c>
    </row>
    <row r="6" spans="1:2" x14ac:dyDescent="0.25">
      <c r="A6" s="4" t="s">
        <v>193</v>
      </c>
      <c r="B6" s="7" t="s">
        <v>465</v>
      </c>
    </row>
    <row r="7" spans="1:2" ht="87.75" customHeight="1" x14ac:dyDescent="0.25">
      <c r="A7" s="4" t="s">
        <v>195</v>
      </c>
      <c r="B7" s="8" t="s">
        <v>217</v>
      </c>
    </row>
    <row r="8" spans="1:2" ht="86.25" customHeight="1" x14ac:dyDescent="0.25">
      <c r="A8" s="4" t="s">
        <v>197</v>
      </c>
      <c r="B8" s="8" t="s">
        <v>218</v>
      </c>
    </row>
    <row r="9" spans="1:2" ht="34.5" customHeight="1" x14ac:dyDescent="0.25">
      <c r="A9" s="4" t="s">
        <v>199</v>
      </c>
      <c r="B9" s="7" t="s">
        <v>466</v>
      </c>
    </row>
    <row r="10" spans="1:2" ht="76.5" x14ac:dyDescent="0.25">
      <c r="A10" s="9" t="s">
        <v>201</v>
      </c>
      <c r="B10" s="7" t="s">
        <v>467</v>
      </c>
    </row>
  </sheetData>
  <sheetProtection algorithmName="SHA-512" hashValue="LUCh33uW5tXOtNOAVogct+nVC3dUrXXGRlw2oo74Eci7fVuTG13f/JYmexeqvVaw0VOfvsUENziwzu5UOEaFrg==" saltValue="8F+LvrNsmC3h8MYS/mhQKw==" spinCount="100000" sheet="1" objects="1" scenarios="1"/>
  <pageMargins left="0.7" right="0.7" top="0.75" bottom="0.75" header="0.3" footer="0.3"/>
  <pageSetup paperSize="9" scale="8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tint="0.79998168889431442"/>
  </sheetPr>
  <dimension ref="A1:B10"/>
  <sheetViews>
    <sheetView topLeftCell="A5" zoomScaleNormal="100" zoomScaleSheetLayoutView="130"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269</v>
      </c>
    </row>
    <row r="4" spans="1:2" x14ac:dyDescent="0.25">
      <c r="A4" s="4" t="s">
        <v>190</v>
      </c>
      <c r="B4" s="10">
        <v>1525</v>
      </c>
    </row>
    <row r="5" spans="1:2" x14ac:dyDescent="0.25">
      <c r="A5" s="4" t="s">
        <v>191</v>
      </c>
      <c r="B5" s="6" t="s">
        <v>216</v>
      </c>
    </row>
    <row r="6" spans="1:2" ht="63.75" x14ac:dyDescent="0.25">
      <c r="A6" s="4" t="s">
        <v>193</v>
      </c>
      <c r="B6" s="7" t="s">
        <v>270</v>
      </c>
    </row>
    <row r="7" spans="1:2" ht="38.25" x14ac:dyDescent="0.25">
      <c r="A7" s="4" t="s">
        <v>195</v>
      </c>
      <c r="B7" s="8" t="s">
        <v>271</v>
      </c>
    </row>
    <row r="8" spans="1:2" ht="51" x14ac:dyDescent="0.25">
      <c r="A8" s="4" t="s">
        <v>197</v>
      </c>
      <c r="B8" s="8" t="s">
        <v>272</v>
      </c>
    </row>
    <row r="9" spans="1:2" ht="45" customHeight="1" x14ac:dyDescent="0.25">
      <c r="A9" s="4" t="s">
        <v>199</v>
      </c>
      <c r="B9" s="7" t="s">
        <v>273</v>
      </c>
    </row>
    <row r="10" spans="1:2" ht="63.75" x14ac:dyDescent="0.25">
      <c r="A10" s="9" t="s">
        <v>201</v>
      </c>
      <c r="B10" s="7" t="s">
        <v>274</v>
      </c>
    </row>
  </sheetData>
  <sheetProtection algorithmName="SHA-512" hashValue="KJE9BfGRkigyeuLt3Fvv7O5uiY51Kca2DJA6Rf9iDXCIXkaaICxMWSk3qZBjCTU9jlxdh5SZi3S01uwupGginQ==" saltValue="iQbtwGVTGP8A/WYuucKcJg==" spinCount="100000" sheet="1" objects="1" scenarios="1"/>
  <pageMargins left="0.7" right="0.7" top="0.75" bottom="0.75" header="0.3" footer="0.3"/>
  <pageSetup paperSize="9" scale="8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79998168889431442"/>
  </sheetPr>
  <dimension ref="A1:B10"/>
  <sheetViews>
    <sheetView topLeftCell="A4" zoomScaleNormal="100" zoomScaleSheetLayoutView="130"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215</v>
      </c>
    </row>
    <row r="4" spans="1:2" x14ac:dyDescent="0.25">
      <c r="A4" s="4" t="s">
        <v>190</v>
      </c>
      <c r="B4" s="10">
        <v>510</v>
      </c>
    </row>
    <row r="5" spans="1:2" x14ac:dyDescent="0.25">
      <c r="A5" s="4" t="s">
        <v>191</v>
      </c>
      <c r="B5" s="6" t="s">
        <v>216</v>
      </c>
    </row>
    <row r="6" spans="1:2" ht="47.25" customHeight="1" x14ac:dyDescent="0.25">
      <c r="A6" s="4" t="s">
        <v>193</v>
      </c>
      <c r="B6" s="7" t="s">
        <v>499</v>
      </c>
    </row>
    <row r="7" spans="1:2" ht="75" customHeight="1" x14ac:dyDescent="0.25">
      <c r="A7" s="4" t="s">
        <v>195</v>
      </c>
      <c r="B7" s="8" t="s">
        <v>475</v>
      </c>
    </row>
    <row r="8" spans="1:2" ht="67.5" customHeight="1" x14ac:dyDescent="0.25">
      <c r="A8" s="4" t="s">
        <v>197</v>
      </c>
      <c r="B8" s="8" t="s">
        <v>500</v>
      </c>
    </row>
    <row r="9" spans="1:2" ht="39" customHeight="1" x14ac:dyDescent="0.25">
      <c r="A9" s="4" t="s">
        <v>199</v>
      </c>
      <c r="B9" s="7" t="s">
        <v>474</v>
      </c>
    </row>
    <row r="10" spans="1:2" ht="25.5" x14ac:dyDescent="0.25">
      <c r="A10" s="9" t="s">
        <v>201</v>
      </c>
      <c r="B10" s="7" t="s">
        <v>476</v>
      </c>
    </row>
  </sheetData>
  <sheetProtection algorithmName="SHA-512" hashValue="Jo/g7PXdlGEPIB4vno76vVwTIAYO+aTy0+vw2U2X+6BY3+Ewleu7PJZjkG672P1SeFZOuf/XSLkICkTbjEB88A==" saltValue="eJJxld3B6LG/P/dDUALePQ==" spinCount="100000" sheet="1" objects="1" scenarios="1"/>
  <pageMargins left="0.7" right="0.7" top="0.75" bottom="0.75" header="0.3" footer="0.3"/>
  <pageSetup paperSize="9" scale="8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tint="0.79998168889431442"/>
  </sheetPr>
  <dimension ref="A1:B10"/>
  <sheetViews>
    <sheetView zoomScaleNormal="100" zoomScaleSheetLayoutView="130"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502</v>
      </c>
    </row>
    <row r="4" spans="1:2" x14ac:dyDescent="0.25">
      <c r="A4" s="4" t="s">
        <v>190</v>
      </c>
      <c r="B4" s="10">
        <v>225</v>
      </c>
    </row>
    <row r="5" spans="1:2" x14ac:dyDescent="0.25">
      <c r="A5" s="4" t="s">
        <v>191</v>
      </c>
      <c r="B5" s="6" t="s">
        <v>192</v>
      </c>
    </row>
    <row r="6" spans="1:2" ht="47.25" customHeight="1" x14ac:dyDescent="0.25">
      <c r="A6" s="4" t="s">
        <v>193</v>
      </c>
      <c r="B6" s="7" t="s">
        <v>503</v>
      </c>
    </row>
    <row r="7" spans="1:2" ht="51.75" customHeight="1" x14ac:dyDescent="0.25">
      <c r="A7" s="4" t="s">
        <v>195</v>
      </c>
      <c r="B7" s="8" t="s">
        <v>506</v>
      </c>
    </row>
    <row r="8" spans="1:2" ht="21.75" customHeight="1" x14ac:dyDescent="0.25">
      <c r="A8" s="4" t="s">
        <v>197</v>
      </c>
      <c r="B8" s="8" t="s">
        <v>504</v>
      </c>
    </row>
    <row r="9" spans="1:2" ht="39" customHeight="1" x14ac:dyDescent="0.25">
      <c r="A9" s="4" t="s">
        <v>199</v>
      </c>
      <c r="B9" s="7" t="s">
        <v>625</v>
      </c>
    </row>
    <row r="10" spans="1:2" ht="34.5" customHeight="1" x14ac:dyDescent="0.25">
      <c r="A10" s="9" t="s">
        <v>201</v>
      </c>
      <c r="B10" s="7" t="s">
        <v>505</v>
      </c>
    </row>
  </sheetData>
  <sheetProtection algorithmName="SHA-512" hashValue="gt82kG1NtMM7xxkoifVVmuKDG525Gn2jgeJcE714mZWhPBGmywzlPF64W+3H5Q/wvLjFgp+xzSzjrg+HYod4nw==" saltValue="0RQvvKKeEKPov/ZCUqEg5g==" spinCount="100000" sheet="1" objects="1" scenarios="1"/>
  <pageMargins left="0.7" right="0.7" top="0.75" bottom="0.75" header="0.3" footer="0.3"/>
  <pageSetup paperSize="9" scale="8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tint="0.79998168889431442"/>
  </sheetPr>
  <dimension ref="A1:B10"/>
  <sheetViews>
    <sheetView zoomScaleNormal="100" zoomScaleSheetLayoutView="130"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509</v>
      </c>
    </row>
    <row r="4" spans="1:2" x14ac:dyDescent="0.25">
      <c r="A4" s="4" t="s">
        <v>190</v>
      </c>
      <c r="B4" s="10">
        <v>20000</v>
      </c>
    </row>
    <row r="5" spans="1:2" x14ac:dyDescent="0.25">
      <c r="A5" s="4" t="s">
        <v>191</v>
      </c>
      <c r="B5" s="6" t="s">
        <v>192</v>
      </c>
    </row>
    <row r="6" spans="1:2" ht="24" customHeight="1" x14ac:dyDescent="0.25">
      <c r="A6" s="4" t="s">
        <v>193</v>
      </c>
      <c r="B6" s="7" t="s">
        <v>558</v>
      </c>
    </row>
    <row r="7" spans="1:2" ht="61.5" customHeight="1" x14ac:dyDescent="0.25">
      <c r="A7" s="4" t="s">
        <v>195</v>
      </c>
      <c r="B7" s="8" t="s">
        <v>559</v>
      </c>
    </row>
    <row r="8" spans="1:2" ht="21.75" customHeight="1" x14ac:dyDescent="0.25">
      <c r="A8" s="4" t="s">
        <v>197</v>
      </c>
      <c r="B8" s="8" t="s">
        <v>548</v>
      </c>
    </row>
    <row r="9" spans="1:2" ht="30.75" customHeight="1" x14ac:dyDescent="0.25">
      <c r="A9" s="4" t="s">
        <v>199</v>
      </c>
      <c r="B9" s="7" t="s">
        <v>547</v>
      </c>
    </row>
    <row r="10" spans="1:2" ht="67.5" customHeight="1" x14ac:dyDescent="0.25">
      <c r="A10" s="9" t="s">
        <v>201</v>
      </c>
      <c r="B10" s="7" t="s">
        <v>557</v>
      </c>
    </row>
  </sheetData>
  <sheetProtection algorithmName="SHA-512" hashValue="LxMvpvXiOCazvlSEDzHtDwgyTYdseirMgwmpg6n1cjmDiyuP5bC0yOq8vErcz20wllUbvwgtmwVdyzzyUucYLg==" saltValue="Z4oDDJEc1iXSoUwsJlmxTQ==" spinCount="100000" sheet="1" objects="1" scenarios="1"/>
  <pageMargins left="0.7" right="0.7" top="0.75" bottom="0.75" header="0.3" footer="0.3"/>
  <pageSetup paperSize="9" scale="8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79998168889431442"/>
  </sheetPr>
  <dimension ref="A1:B10"/>
  <sheetViews>
    <sheetView zoomScaleNormal="100" workbookViewId="0">
      <selection activeCell="A11" sqref="A11:XFD1048576"/>
    </sheetView>
  </sheetViews>
  <sheetFormatPr defaultColWidth="0" defaultRowHeight="12.75" zeroHeight="1" x14ac:dyDescent="0.25"/>
  <cols>
    <col min="1" max="1" width="21.5703125" style="3" customWidth="1"/>
    <col min="2" max="2" width="150.7109375" style="3" customWidth="1"/>
    <col min="3" max="16384" width="9.140625" style="3" hidden="1"/>
  </cols>
  <sheetData>
    <row r="1" spans="1:2" ht="25.5" x14ac:dyDescent="0.25">
      <c r="A1" s="1" t="s">
        <v>186</v>
      </c>
      <c r="B1" s="2" t="s">
        <v>187</v>
      </c>
    </row>
    <row r="2" spans="1:2" x14ac:dyDescent="0.25"/>
    <row r="3" spans="1:2" x14ac:dyDescent="0.25">
      <c r="A3" s="4" t="s">
        <v>188</v>
      </c>
      <c r="B3" s="5" t="s">
        <v>533</v>
      </c>
    </row>
    <row r="4" spans="1:2" x14ac:dyDescent="0.25">
      <c r="A4" s="4" t="s">
        <v>190</v>
      </c>
      <c r="B4" s="10">
        <v>1766</v>
      </c>
    </row>
    <row r="5" spans="1:2" x14ac:dyDescent="0.25">
      <c r="A5" s="4" t="s">
        <v>191</v>
      </c>
      <c r="B5" s="6" t="s">
        <v>216</v>
      </c>
    </row>
    <row r="6" spans="1:2" ht="114.75" x14ac:dyDescent="0.25">
      <c r="A6" s="4" t="s">
        <v>193</v>
      </c>
      <c r="B6" s="7" t="s">
        <v>626</v>
      </c>
    </row>
    <row r="7" spans="1:2" ht="51" customHeight="1" x14ac:dyDescent="0.25">
      <c r="A7" s="4" t="s">
        <v>195</v>
      </c>
      <c r="B7" s="8" t="s">
        <v>737</v>
      </c>
    </row>
    <row r="8" spans="1:2" ht="42" customHeight="1" x14ac:dyDescent="0.25">
      <c r="A8" s="4" t="s">
        <v>197</v>
      </c>
      <c r="B8" s="8" t="s">
        <v>534</v>
      </c>
    </row>
    <row r="9" spans="1:2" ht="63.75" customHeight="1" x14ac:dyDescent="0.25">
      <c r="A9" s="4" t="s">
        <v>199</v>
      </c>
      <c r="B9" s="7" t="s">
        <v>627</v>
      </c>
    </row>
    <row r="10" spans="1:2" ht="255" x14ac:dyDescent="0.25">
      <c r="A10" s="9" t="s">
        <v>201</v>
      </c>
      <c r="B10" s="8" t="s">
        <v>628</v>
      </c>
    </row>
  </sheetData>
  <sheetProtection algorithmName="SHA-512" hashValue="4FymNyhmkhxJjZrfGT5uJl7tbToIrU93TTr7jYgZchmhGfXe4chlO7aic4hcMPexqLjZSyqxTkij6EIyJMdpwg==" saltValue="/ZzQXl5v8OAiL1i6SCUdVA==" spinCount="100000" sheet="1" objects="1" scenarios="1"/>
  <pageMargins left="0.7" right="0.7" top="0.75" bottom="0.75" header="0.3" footer="0.3"/>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976FB-0DA7-4A43-B198-21EC0D8038F6}">
  <sheetPr>
    <tabColor rgb="FF00B050"/>
  </sheetPr>
  <dimension ref="A1:AC68"/>
  <sheetViews>
    <sheetView tabSelected="1" topLeftCell="A23" zoomScale="70" zoomScaleNormal="70" zoomScaleSheetLayoutView="90" workbookViewId="0">
      <selection activeCell="D62" sqref="D62"/>
    </sheetView>
  </sheetViews>
  <sheetFormatPr defaultColWidth="0" defaultRowHeight="15" x14ac:dyDescent="0.25"/>
  <cols>
    <col min="1" max="1" width="66.7109375" style="206" bestFit="1" customWidth="1"/>
    <col min="2" max="2" width="20.140625" style="206" bestFit="1" customWidth="1"/>
    <col min="3" max="7" width="22.42578125" style="206" customWidth="1"/>
    <col min="8" max="8" width="24.28515625" style="206" bestFit="1" customWidth="1"/>
    <col min="9" max="14" width="22.42578125" style="206" customWidth="1"/>
    <col min="15" max="15" width="24.7109375" style="206" customWidth="1"/>
    <col min="16" max="16" width="39.42578125" style="206" customWidth="1"/>
    <col min="17" max="17" width="16.140625" style="206" bestFit="1" customWidth="1"/>
    <col min="18" max="18" width="24.85546875" style="206" bestFit="1" customWidth="1"/>
    <col min="19" max="19" width="17.28515625" style="206" bestFit="1" customWidth="1"/>
    <col min="20" max="20" width="15.7109375" style="206" bestFit="1" customWidth="1"/>
    <col min="21" max="21" width="17.7109375" style="206" bestFit="1" customWidth="1"/>
    <col min="22" max="22" width="17.140625" style="206" customWidth="1"/>
    <col min="23" max="23" width="16.42578125" style="206" bestFit="1" customWidth="1"/>
    <col min="24" max="24" width="9.140625" style="206" customWidth="1"/>
    <col min="25" max="29" width="0" style="206" hidden="1"/>
    <col min="30" max="16384" width="9.140625" style="206" hidden="1"/>
  </cols>
  <sheetData>
    <row r="1" spans="1:23" ht="15.75" thickBot="1" x14ac:dyDescent="0.3"/>
    <row r="2" spans="1:23" ht="15.75" thickBot="1" x14ac:dyDescent="0.3">
      <c r="A2" s="207"/>
      <c r="B2" s="208"/>
      <c r="C2" s="209" t="s">
        <v>731</v>
      </c>
      <c r="D2" s="210"/>
      <c r="E2" s="210"/>
      <c r="F2" s="210"/>
      <c r="G2" s="210"/>
      <c r="H2" s="211"/>
      <c r="I2" s="209" t="s">
        <v>677</v>
      </c>
      <c r="J2" s="210"/>
      <c r="K2" s="210"/>
      <c r="L2" s="210"/>
      <c r="M2" s="210"/>
      <c r="N2" s="210"/>
      <c r="O2" s="212"/>
      <c r="P2" s="212"/>
      <c r="Q2" s="213"/>
      <c r="R2" s="214" t="s">
        <v>730</v>
      </c>
      <c r="S2" s="215"/>
      <c r="T2" s="215"/>
      <c r="U2" s="215"/>
      <c r="V2" s="216"/>
      <c r="W2" s="217"/>
    </row>
    <row r="3" spans="1:23" s="229" customFormat="1" ht="60" x14ac:dyDescent="0.25">
      <c r="A3" s="218" t="s">
        <v>532</v>
      </c>
      <c r="B3" s="219" t="s">
        <v>602</v>
      </c>
      <c r="C3" s="220" t="s">
        <v>565</v>
      </c>
      <c r="D3" s="221" t="s">
        <v>599</v>
      </c>
      <c r="E3" s="221" t="s">
        <v>600</v>
      </c>
      <c r="F3" s="221" t="s">
        <v>601</v>
      </c>
      <c r="G3" s="222" t="s">
        <v>597</v>
      </c>
      <c r="H3" s="222" t="s">
        <v>598</v>
      </c>
      <c r="I3" s="218" t="s">
        <v>673</v>
      </c>
      <c r="J3" s="223" t="s">
        <v>599</v>
      </c>
      <c r="K3" s="223" t="s">
        <v>600</v>
      </c>
      <c r="L3" s="223" t="s">
        <v>601</v>
      </c>
      <c r="M3" s="222" t="s">
        <v>597</v>
      </c>
      <c r="N3" s="224" t="s">
        <v>598</v>
      </c>
      <c r="O3" s="223" t="s">
        <v>674</v>
      </c>
      <c r="P3" s="225" t="s">
        <v>562</v>
      </c>
      <c r="Q3" s="226" t="s">
        <v>563</v>
      </c>
      <c r="R3" s="223" t="s">
        <v>564</v>
      </c>
      <c r="S3" s="223" t="s">
        <v>573</v>
      </c>
      <c r="T3" s="223" t="s">
        <v>572</v>
      </c>
      <c r="U3" s="223" t="s">
        <v>584</v>
      </c>
      <c r="V3" s="225" t="s">
        <v>561</v>
      </c>
      <c r="W3" s="227" t="s">
        <v>579</v>
      </c>
    </row>
    <row r="4" spans="1:23" s="229" customFormat="1" x14ac:dyDescent="0.25">
      <c r="B4" s="219"/>
      <c r="C4" s="218"/>
      <c r="D4" s="230" t="str">
        <f>CONCATENATE([1]Intro_Lists!$K$12,"%")</f>
        <v>15%</v>
      </c>
      <c r="E4" s="230" t="str">
        <f>CONCATENATE([1]Intro_Lists!$K$13,"%")</f>
        <v>10%</v>
      </c>
      <c r="F4" s="230" t="str">
        <f>CONCATENATE([1]Intro_Lists!$K$14,"%")</f>
        <v>8%</v>
      </c>
      <c r="G4" s="231" t="str">
        <f>CONCATENATE([1]Intro_Lists!$K10,"%")</f>
        <v>15%</v>
      </c>
      <c r="H4" s="231" t="str">
        <f>CONCATENATE([1]Intro_Lists!$K11,"%")</f>
        <v>10%</v>
      </c>
      <c r="I4" s="218"/>
      <c r="J4" s="230" t="str">
        <f>CONCATENATE([1]Intro_Lists!$K$12,"%")</f>
        <v>15%</v>
      </c>
      <c r="K4" s="230" t="str">
        <f>CONCATENATE([1]Intro_Lists!$K$13,"%")</f>
        <v>10%</v>
      </c>
      <c r="L4" s="230" t="str">
        <f>CONCATENATE([1]Intro_Lists!$K$14,"%")</f>
        <v>8%</v>
      </c>
      <c r="M4" s="231" t="str">
        <f>CONCATENATE([1]Intro_Lists!$K10,"%")</f>
        <v>15%</v>
      </c>
      <c r="N4" s="232" t="str">
        <f>CONCATENATE([1]Intro_Lists!$K11,"%")</f>
        <v>10%</v>
      </c>
      <c r="O4" s="230"/>
      <c r="P4" s="233" t="str">
        <f>CONCATENATE([1]Intro_Lists!K19,"%")</f>
        <v>0.5%</v>
      </c>
      <c r="Q4" s="234" t="str">
        <f>CONCATENATE([1]Intro_Lists!K20,"%")</f>
        <v>5%</v>
      </c>
      <c r="R4" s="230"/>
      <c r="S4" s="230"/>
      <c r="T4" s="230"/>
      <c r="U4" s="235"/>
      <c r="V4" s="233"/>
      <c r="W4" s="236"/>
    </row>
    <row r="5" spans="1:23" x14ac:dyDescent="0.25">
      <c r="A5" s="238" t="s">
        <v>7</v>
      </c>
      <c r="B5" s="239">
        <v>1524</v>
      </c>
      <c r="C5" s="240">
        <f>SUMIF('[1]Design Schedule'!$A:$A,'Scheme Costs '!$A5,'[1]Design Schedule'!$BD:$BD)</f>
        <v>578335</v>
      </c>
      <c r="D5" s="241">
        <f>ROUND((($C5)*([1]Intro_Lists!$K$12/100)),0)</f>
        <v>86750</v>
      </c>
      <c r="E5" s="241">
        <f>ROUND((([1]Intro_Lists!$K$13/100)*($C5+$D5)),0)</f>
        <v>66509</v>
      </c>
      <c r="F5" s="241">
        <f>ROUND((([1]Intro_Lists!$K$14/100)*($C5+$D5+$E5)),0)</f>
        <v>58528</v>
      </c>
      <c r="G5" s="242">
        <f>ROUND((SUMIF('[1]Design Schedule'!$A:$A,'Scheme Costs '!$A5,'[1]Design Schedule'!$BI:$BI)),0)</f>
        <v>57325</v>
      </c>
      <c r="H5" s="242">
        <f>ROUND((SUMIF('[1]Design Schedule'!$A:$A,'Scheme Costs '!$A5,'[1]Design Schedule'!$BJ:$BJ)),0)</f>
        <v>32112</v>
      </c>
      <c r="I5" s="240">
        <f>SUMIF('[1]Design Schedule'!$A:$A,'Scheme Costs '!$A5,'[1]Design Schedule'!$BE:$BE)</f>
        <v>0</v>
      </c>
      <c r="J5" s="241">
        <f>ROUND((($I5)*([1]Intro_Lists!$K$12/100)),0)</f>
        <v>0</v>
      </c>
      <c r="K5" s="241">
        <f>ROUND((([1]Intro_Lists!$K$13/100)*($I5+$J5)),0)</f>
        <v>0</v>
      </c>
      <c r="L5" s="241">
        <f>ROUND((([1]Intro_Lists!$K$14/100)*($I5+$J5+$K5)),0)</f>
        <v>0</v>
      </c>
      <c r="M5" s="242">
        <f>ROUND((SUMIF('[1]Design Schedule'!$A:$A,'Scheme Costs '!$A5,'[1]Design Schedule'!$BK:$BK)),0)</f>
        <v>0</v>
      </c>
      <c r="N5" s="243">
        <f>ROUND((SUMIF('[1]Design Schedule'!$A:$A,'Scheme Costs '!$A5,'[1]Design Schedule'!$BL:$BL)),0)</f>
        <v>0</v>
      </c>
      <c r="O5" s="241">
        <f t="shared" ref="O5:O13" si="0">SUM(C5:N5)</f>
        <v>879559</v>
      </c>
      <c r="P5" s="244">
        <f>ROUND((SUMIF('[1]Design Schedule'!$A:$A,'Scheme Costs '!$A5,'[1]Design Schedule'!$BO:$BO)),0)</f>
        <v>0</v>
      </c>
      <c r="Q5" s="245">
        <f>ROUND((SUMIF('[1]Design Schedule'!$A:$A,'Scheme Costs '!$A5,'[1]Design Schedule'!$BP:$BP)),0)</f>
        <v>16056</v>
      </c>
      <c r="R5" s="241"/>
      <c r="S5" s="241"/>
      <c r="T5" s="241"/>
      <c r="U5" s="235">
        <f t="shared" ref="U5:U13" si="1">SUM(R5:T5)</f>
        <v>0</v>
      </c>
      <c r="V5" s="244"/>
      <c r="W5" s="246">
        <f t="shared" ref="W5:W13" si="2">SUM(O5+U5)</f>
        <v>879559</v>
      </c>
    </row>
    <row r="6" spans="1:23" x14ac:dyDescent="0.25">
      <c r="A6" s="247" t="s">
        <v>88</v>
      </c>
      <c r="B6" s="248">
        <v>4225</v>
      </c>
      <c r="C6" s="240">
        <f>SUMIF('[1]Design Schedule'!$A:$A,'Scheme Costs '!$A6,'[1]Design Schedule'!$BD:$BD)</f>
        <v>1337740</v>
      </c>
      <c r="D6" s="241">
        <f>ROUND((($C6)*([1]Intro_Lists!$K$12/100)),0)</f>
        <v>200661</v>
      </c>
      <c r="E6" s="241">
        <f>ROUND((([1]Intro_Lists!$K$13/100)*($C6+$D6)),0)</f>
        <v>153840</v>
      </c>
      <c r="F6" s="241">
        <f>ROUND((([1]Intro_Lists!$K$14/100)*($C6+$D6+$E6)),0)</f>
        <v>135379</v>
      </c>
      <c r="G6" s="242">
        <f>ROUND((SUMIF('[1]Design Schedule'!$A:$A,'Scheme Costs '!$A6,'[1]Design Schedule'!$BI:$BI)),0)</f>
        <v>153359</v>
      </c>
      <c r="H6" s="242">
        <f>ROUND((SUMIF('[1]Design Schedule'!$A:$A,'Scheme Costs '!$A6,'[1]Design Schedule'!$BJ:$BJ)),0)</f>
        <v>101144</v>
      </c>
      <c r="I6" s="240">
        <f>SUMIF('[1]Design Schedule'!$A:$A,'Scheme Costs '!$A6,'[1]Design Schedule'!$BE:$BE)</f>
        <v>0</v>
      </c>
      <c r="J6" s="241">
        <f>ROUND((($I6)*([1]Intro_Lists!$K$12/100)),0)</f>
        <v>0</v>
      </c>
      <c r="K6" s="241">
        <f>ROUND((([1]Intro_Lists!$K$13/100)*($I6+$J6)),0)</f>
        <v>0</v>
      </c>
      <c r="L6" s="241">
        <f>ROUND((([1]Intro_Lists!$K$14/100)*($I6+$J6+$K6)),0)</f>
        <v>0</v>
      </c>
      <c r="M6" s="242">
        <f>ROUND((SUMIF('[1]Design Schedule'!$A:$A,'Scheme Costs '!$A6,'[1]Design Schedule'!$BK:$BK)),0)</f>
        <v>0</v>
      </c>
      <c r="N6" s="243">
        <f>ROUND((SUMIF('[1]Design Schedule'!$A:$A,'Scheme Costs '!$A6,'[1]Design Schedule'!$BL:$BL)),0)</f>
        <v>0</v>
      </c>
      <c r="O6" s="241">
        <f t="shared" si="0"/>
        <v>2082123</v>
      </c>
      <c r="P6" s="244">
        <f>ROUND((SUMIF('[1]Design Schedule'!$A:$A,'Scheme Costs '!$A6,'[1]Design Schedule'!$BO:$BO)),0)</f>
        <v>0</v>
      </c>
      <c r="Q6" s="245">
        <f>ROUND((SUMIF('[1]Design Schedule'!$A:$A,'Scheme Costs '!$A6,'[1]Design Schedule'!$BP:$BP)),0)</f>
        <v>50572</v>
      </c>
      <c r="R6" s="241"/>
      <c r="S6" s="241"/>
      <c r="T6" s="241"/>
      <c r="U6" s="235">
        <f t="shared" si="1"/>
        <v>0</v>
      </c>
      <c r="V6" s="244"/>
      <c r="W6" s="246">
        <f t="shared" si="2"/>
        <v>2082123</v>
      </c>
    </row>
    <row r="7" spans="1:23" x14ac:dyDescent="0.25">
      <c r="A7" s="247" t="s">
        <v>84</v>
      </c>
      <c r="B7" s="248">
        <v>5954</v>
      </c>
      <c r="C7" s="240">
        <f>SUMIF('[1]Design Schedule'!$A:$A,'Scheme Costs '!$A7,'[1]Design Schedule'!$BD:$BD)</f>
        <v>552360</v>
      </c>
      <c r="D7" s="241">
        <f>ROUND((($C7)*([1]Intro_Lists!$K$12/100)),0)</f>
        <v>82854</v>
      </c>
      <c r="E7" s="241">
        <f>ROUND((([1]Intro_Lists!$K$13/100)*($C7+$D7)),0)</f>
        <v>63521</v>
      </c>
      <c r="F7" s="241">
        <f>ROUND((([1]Intro_Lists!$K$14/100)*($C7+$D7+$E7)),0)</f>
        <v>55899</v>
      </c>
      <c r="G7" s="242">
        <f>ROUND((SUMIF('[1]Design Schedule'!$A:$A,'Scheme Costs '!$A7,'[1]Design Schedule'!$BI:$BI)),0)</f>
        <v>8400</v>
      </c>
      <c r="H7" s="242">
        <f>ROUND((SUMIF('[1]Design Schedule'!$A:$A,'Scheme Costs '!$A7,'[1]Design Schedule'!$BJ:$BJ)),0)</f>
        <v>5600</v>
      </c>
      <c r="I7" s="240">
        <f>SUMIF('[1]Design Schedule'!$A:$A,'Scheme Costs '!$A7,'[1]Design Schedule'!$BE:$BE)</f>
        <v>0</v>
      </c>
      <c r="J7" s="241">
        <f>ROUND((($I7)*([1]Intro_Lists!$K$12/100)),0)</f>
        <v>0</v>
      </c>
      <c r="K7" s="241">
        <f>ROUND((([1]Intro_Lists!$K$13/100)*($I7+$J7)),0)</f>
        <v>0</v>
      </c>
      <c r="L7" s="241">
        <f>ROUND((([1]Intro_Lists!$K$14/100)*($I7+$J7+$K7)),0)</f>
        <v>0</v>
      </c>
      <c r="M7" s="242">
        <f>ROUND((SUMIF('[1]Design Schedule'!$A:$A,'Scheme Costs '!$A7,'[1]Design Schedule'!$BK:$BK)),0)</f>
        <v>0</v>
      </c>
      <c r="N7" s="243">
        <f>ROUND((SUMIF('[1]Design Schedule'!$A:$A,'Scheme Costs '!$A7,'[1]Design Schedule'!$BL:$BL)),0)</f>
        <v>0</v>
      </c>
      <c r="O7" s="241">
        <f t="shared" si="0"/>
        <v>768634</v>
      </c>
      <c r="P7" s="244">
        <f>ROUND((SUMIF('[1]Design Schedule'!$A:$A,'Scheme Costs '!$A7,'[1]Design Schedule'!$BO:$BO)),0)</f>
        <v>0</v>
      </c>
      <c r="Q7" s="245">
        <f>ROUND((SUMIF('[1]Design Schedule'!$A:$A,'Scheme Costs '!$A7,'[1]Design Schedule'!$BP:$BP)),0)</f>
        <v>2800</v>
      </c>
      <c r="R7" s="241"/>
      <c r="S7" s="241"/>
      <c r="T7" s="241"/>
      <c r="U7" s="235">
        <f t="shared" si="1"/>
        <v>0</v>
      </c>
      <c r="V7" s="244"/>
      <c r="W7" s="246">
        <f t="shared" si="2"/>
        <v>768634</v>
      </c>
    </row>
    <row r="8" spans="1:23" x14ac:dyDescent="0.25">
      <c r="A8" s="247" t="s">
        <v>89</v>
      </c>
      <c r="B8" s="248">
        <v>4798</v>
      </c>
      <c r="C8" s="240">
        <f>SUMIF('[1]Design Schedule'!$A:$A,'Scheme Costs '!$A8,'[1]Design Schedule'!$BD:$BD)</f>
        <v>2403605</v>
      </c>
      <c r="D8" s="241">
        <f>ROUND((($C8)*([1]Intro_Lists!$K$12/100)),0)</f>
        <v>360541</v>
      </c>
      <c r="E8" s="241">
        <f>ROUND((([1]Intro_Lists!$K$13/100)*($C8+$D8)),0)</f>
        <v>276415</v>
      </c>
      <c r="F8" s="241">
        <f>ROUND((([1]Intro_Lists!$K$14/100)*($C8+$D8+$E8)),0)</f>
        <v>243245</v>
      </c>
      <c r="G8" s="242">
        <f>ROUND((SUMIF('[1]Design Schedule'!$A:$A,'Scheme Costs '!$A8,'[1]Design Schedule'!$BI:$BI)),0)</f>
        <v>282710</v>
      </c>
      <c r="H8" s="242">
        <f>ROUND((SUMIF('[1]Design Schedule'!$A:$A,'Scheme Costs '!$A8,'[1]Design Schedule'!$BJ:$BJ)),0)</f>
        <v>184723</v>
      </c>
      <c r="I8" s="240">
        <f>SUMIF('[1]Design Schedule'!$A:$A,'Scheme Costs '!$A8,'[1]Design Schedule'!$BE:$BE)</f>
        <v>0</v>
      </c>
      <c r="J8" s="241">
        <f>ROUND((($I8)*([1]Intro_Lists!$K$12/100)),0)</f>
        <v>0</v>
      </c>
      <c r="K8" s="241">
        <f>ROUND((([1]Intro_Lists!$K$13/100)*($I8+$J8)),0)</f>
        <v>0</v>
      </c>
      <c r="L8" s="241">
        <f>ROUND((([1]Intro_Lists!$K$14/100)*($I8+$J8+$K8)),0)</f>
        <v>0</v>
      </c>
      <c r="M8" s="242">
        <f>ROUND((SUMIF('[1]Design Schedule'!$A:$A,'Scheme Costs '!$A8,'[1]Design Schedule'!$BK:$BK)),0)</f>
        <v>0</v>
      </c>
      <c r="N8" s="243">
        <f>ROUND((SUMIF('[1]Design Schedule'!$A:$A,'Scheme Costs '!$A8,'[1]Design Schedule'!$BL:$BL)),0)</f>
        <v>0</v>
      </c>
      <c r="O8" s="241">
        <f t="shared" si="0"/>
        <v>3751239</v>
      </c>
      <c r="P8" s="249">
        <f>ROUND((SUMIF('[1]Design Schedule'!$A:$A,'Scheme Costs '!$A8,'[1]Design Schedule'!$BO:$BO)),0)</f>
        <v>0</v>
      </c>
      <c r="Q8" s="250">
        <f>ROUND((SUMIF('[1]Design Schedule'!$A:$A,'Scheme Costs '!$A8,'[1]Design Schedule'!$BP:$BP)),0)</f>
        <v>92362</v>
      </c>
      <c r="R8" s="241"/>
      <c r="S8" s="241"/>
      <c r="T8" s="241"/>
      <c r="U8" s="235">
        <f t="shared" si="1"/>
        <v>0</v>
      </c>
      <c r="V8" s="244"/>
      <c r="W8" s="246">
        <f t="shared" si="2"/>
        <v>3751239</v>
      </c>
    </row>
    <row r="9" spans="1:23" x14ac:dyDescent="0.25">
      <c r="A9" s="247" t="s">
        <v>90</v>
      </c>
      <c r="B9" s="248">
        <v>3082</v>
      </c>
      <c r="C9" s="240">
        <f>SUMIF('[1]Design Schedule'!$A:$A,'Scheme Costs '!$A9,'[1]Design Schedule'!$BD:$BD)</f>
        <v>1279226</v>
      </c>
      <c r="D9" s="241">
        <f>ROUND((($C9)*([1]Intro_Lists!$K$12/100)),0)</f>
        <v>191884</v>
      </c>
      <c r="E9" s="241">
        <f>ROUND((([1]Intro_Lists!$K$13/100)*($C9+$D9)),0)</f>
        <v>147111</v>
      </c>
      <c r="F9" s="241">
        <f>ROUND((([1]Intro_Lists!$K$14/100)*($C9+$D9+$E9)),0)</f>
        <v>129458</v>
      </c>
      <c r="G9" s="242">
        <f>ROUND((SUMIF('[1]Design Schedule'!$A:$A,'Scheme Costs '!$A9,'[1]Design Schedule'!$BI:$BI)),0)</f>
        <v>69506</v>
      </c>
      <c r="H9" s="242">
        <f>ROUND((SUMIF('[1]Design Schedule'!$A:$A,'Scheme Costs '!$A9,'[1]Design Schedule'!$BJ:$BJ)),0)</f>
        <v>46338</v>
      </c>
      <c r="I9" s="240">
        <f>SUMIF('[1]Design Schedule'!$A:$A,'Scheme Costs '!$A9,'[1]Design Schedule'!$BE:$BE)</f>
        <v>0</v>
      </c>
      <c r="J9" s="241">
        <f>ROUND((($I9)*([1]Intro_Lists!$K$12/100)),0)</f>
        <v>0</v>
      </c>
      <c r="K9" s="241">
        <f>ROUND((([1]Intro_Lists!$K$13/100)*($I9+$J9)),0)</f>
        <v>0</v>
      </c>
      <c r="L9" s="241">
        <f>ROUND((([1]Intro_Lists!$K$14/100)*($I9+$J9+$K9)),0)</f>
        <v>0</v>
      </c>
      <c r="M9" s="242">
        <f>ROUND((SUMIF('[1]Design Schedule'!$A:$A,'Scheme Costs '!$A9,'[1]Design Schedule'!$BK:$BK)),0)</f>
        <v>0</v>
      </c>
      <c r="N9" s="243">
        <f>ROUND((SUMIF('[1]Design Schedule'!$A:$A,'Scheme Costs '!$A9,'[1]Design Schedule'!$BL:$BL)),0)</f>
        <v>0</v>
      </c>
      <c r="O9" s="241">
        <f t="shared" si="0"/>
        <v>1863523</v>
      </c>
      <c r="P9" s="249">
        <f>ROUND((SUMIF('[1]Design Schedule'!$A:$A,'Scheme Costs '!$A9,'[1]Design Schedule'!$BO:$BO)),0)</f>
        <v>4077</v>
      </c>
      <c r="Q9" s="250">
        <f>ROUND((SUMIF('[1]Design Schedule'!$A:$A,'Scheme Costs '!$A9,'[1]Design Schedule'!$BP:$BP)),0)</f>
        <v>23169</v>
      </c>
      <c r="R9" s="241">
        <f>21415264+195500</f>
        <v>21610764</v>
      </c>
      <c r="S9" s="373">
        <v>4123000</v>
      </c>
      <c r="T9" s="241">
        <f>ROUND((0.03*R9),0)</f>
        <v>648323</v>
      </c>
      <c r="U9" s="235">
        <f>SUM(R9+T9)</f>
        <v>22259087</v>
      </c>
      <c r="V9" s="244">
        <v>24090</v>
      </c>
      <c r="W9" s="246">
        <f t="shared" si="2"/>
        <v>24122610</v>
      </c>
    </row>
    <row r="10" spans="1:23" x14ac:dyDescent="0.25">
      <c r="A10" s="247" t="s">
        <v>85</v>
      </c>
      <c r="B10" s="248">
        <v>7001</v>
      </c>
      <c r="C10" s="240">
        <f>SUMIF('[1]Design Schedule'!$A:$A,'Scheme Costs '!$A10,'[1]Design Schedule'!$BD:$BD)</f>
        <v>2417771</v>
      </c>
      <c r="D10" s="241">
        <f>ROUND((($C10)*([1]Intro_Lists!$K$12/100)),0)</f>
        <v>362666</v>
      </c>
      <c r="E10" s="241">
        <f>ROUND((([1]Intro_Lists!$K$13/100)*($C10+$D10)),0)</f>
        <v>278044</v>
      </c>
      <c r="F10" s="241">
        <f>ROUND((([1]Intro_Lists!$K$14/100)*($C10+$D10+$E10)),0)</f>
        <v>244678</v>
      </c>
      <c r="G10" s="242">
        <f>ROUND((SUMIF('[1]Design Schedule'!$A:$A,'Scheme Costs '!$A10,'[1]Design Schedule'!$BI:$BI)),0)</f>
        <v>197172</v>
      </c>
      <c r="H10" s="242">
        <f>ROUND((SUMIF('[1]Design Schedule'!$A:$A,'Scheme Costs '!$A10,'[1]Design Schedule'!$BJ:$BJ)),0)</f>
        <v>136522</v>
      </c>
      <c r="I10" s="240">
        <f>SUMIF('[1]Design Schedule'!$A:$A,'Scheme Costs '!$A10,'[1]Design Schedule'!$BE:$BE)</f>
        <v>45000</v>
      </c>
      <c r="J10" s="241">
        <f>ROUND((($I10)*([1]Intro_Lists!$K$12/100)),0)</f>
        <v>6750</v>
      </c>
      <c r="K10" s="241">
        <f>ROUND((([1]Intro_Lists!$K$13/100)*($I10+$J10)),0)</f>
        <v>5175</v>
      </c>
      <c r="L10" s="241">
        <f>ROUND((([1]Intro_Lists!$K$14/100)*($I10+$J10+$K10)),0)</f>
        <v>4554</v>
      </c>
      <c r="M10" s="242">
        <f>ROUND((SUMIF('[1]Design Schedule'!$A:$A,'Scheme Costs '!$A10,'[1]Design Schedule'!$BK:$BK)),0)</f>
        <v>6750</v>
      </c>
      <c r="N10" s="243">
        <f>ROUND((SUMIF('[1]Design Schedule'!$A:$A,'Scheme Costs '!$A10,'[1]Design Schedule'!$BL:$BL)),0)</f>
        <v>4500</v>
      </c>
      <c r="O10" s="241">
        <f t="shared" si="0"/>
        <v>3709582</v>
      </c>
      <c r="P10" s="249">
        <f>ROUND((SUMIF('[1]Design Schedule'!$A:$A,'Scheme Costs '!$A10,'[1]Design Schedule'!$BO:$BO)),0)</f>
        <v>0</v>
      </c>
      <c r="Q10" s="250">
        <f>ROUND((SUMIF('[1]Design Schedule'!$A:$A,'Scheme Costs '!$A10,'[1]Design Schedule'!$BP:$BP)),0)</f>
        <v>62050</v>
      </c>
      <c r="R10" s="241"/>
      <c r="S10" s="241"/>
      <c r="T10" s="241"/>
      <c r="U10" s="235">
        <f t="shared" si="1"/>
        <v>0</v>
      </c>
      <c r="V10" s="244"/>
      <c r="W10" s="246">
        <f t="shared" si="2"/>
        <v>3709582</v>
      </c>
    </row>
    <row r="11" spans="1:23" x14ac:dyDescent="0.25">
      <c r="A11" s="247" t="s">
        <v>86</v>
      </c>
      <c r="B11" s="248">
        <v>6923</v>
      </c>
      <c r="C11" s="240">
        <f>SUMIF('[1]Design Schedule'!$A:$A,'Scheme Costs '!$A11,'[1]Design Schedule'!$BD:$BD)</f>
        <v>0</v>
      </c>
      <c r="D11" s="241">
        <f>ROUND((($C11)*([1]Intro_Lists!$K$12/100)),0)</f>
        <v>0</v>
      </c>
      <c r="E11" s="241">
        <f>ROUND((([1]Intro_Lists!$K$13/100)*($C11+$D11)),0)</f>
        <v>0</v>
      </c>
      <c r="F11" s="241">
        <f>ROUND((([1]Intro_Lists!$K$14/100)*($C11+$D11+$E11)),0)</f>
        <v>0</v>
      </c>
      <c r="G11" s="242">
        <f>ROUND((SUMIF('[1]Design Schedule'!$A:$A,'Scheme Costs '!$A11,'[1]Design Schedule'!$BI:$BI)),0)</f>
        <v>0</v>
      </c>
      <c r="H11" s="242">
        <f>ROUND((SUMIF('[1]Design Schedule'!$A:$A,'Scheme Costs '!$A11,'[1]Design Schedule'!$BJ:$BJ)),0)</f>
        <v>0</v>
      </c>
      <c r="I11" s="240">
        <f>SUMIF('[1]Design Schedule'!$A:$A,'Scheme Costs '!$A11,'[1]Design Schedule'!$BE:$BE)</f>
        <v>0</v>
      </c>
      <c r="J11" s="241">
        <f>ROUND((($I11)*([1]Intro_Lists!$K$12/100)),0)</f>
        <v>0</v>
      </c>
      <c r="K11" s="241">
        <f>ROUND((([1]Intro_Lists!$K$13/100)*($I11+$J11)),0)</f>
        <v>0</v>
      </c>
      <c r="L11" s="241">
        <f>ROUND((([1]Intro_Lists!$K$14/100)*($I11+$J11+$K11)),0)</f>
        <v>0</v>
      </c>
      <c r="M11" s="242">
        <f>ROUND((SUMIF('[1]Design Schedule'!$A:$A,'Scheme Costs '!$A11,'[1]Design Schedule'!$BK:$BK)),0)</f>
        <v>0</v>
      </c>
      <c r="N11" s="243">
        <f>ROUND((SUMIF('[1]Design Schedule'!$A:$A,'Scheme Costs '!$A11,'[1]Design Schedule'!$BL:$BL)),0)</f>
        <v>0</v>
      </c>
      <c r="O11" s="241">
        <f t="shared" si="0"/>
        <v>0</v>
      </c>
      <c r="P11" s="249">
        <f>ROUND((SUMIF('[1]Design Schedule'!$A:$A,'Scheme Costs '!$A11,'[1]Design Schedule'!$BO:$BO)),0)</f>
        <v>0</v>
      </c>
      <c r="Q11" s="250">
        <f>ROUND((SUMIF('[1]Design Schedule'!$A:$A,'Scheme Costs '!$A11,'[1]Design Schedule'!$BP:$BP)),0)</f>
        <v>0</v>
      </c>
      <c r="R11" s="241"/>
      <c r="S11" s="241"/>
      <c r="T11" s="241"/>
      <c r="U11" s="235">
        <f t="shared" si="1"/>
        <v>0</v>
      </c>
      <c r="V11" s="244"/>
      <c r="W11" s="246">
        <f t="shared" si="2"/>
        <v>0</v>
      </c>
    </row>
    <row r="12" spans="1:23" x14ac:dyDescent="0.25">
      <c r="A12" s="247" t="s">
        <v>87</v>
      </c>
      <c r="B12" s="248">
        <v>7025</v>
      </c>
      <c r="C12" s="240">
        <f>SUMIF('[1]Design Schedule'!$A:$A,'Scheme Costs '!$A12,'[1]Design Schedule'!$BD:$BD)</f>
        <v>1790326</v>
      </c>
      <c r="D12" s="241">
        <f>ROUND((($C12)*([1]Intro_Lists!$K$12/100)),0)</f>
        <v>268549</v>
      </c>
      <c r="E12" s="241">
        <f>ROUND((([1]Intro_Lists!$K$13/100)*($C12+$D12)),0)</f>
        <v>205888</v>
      </c>
      <c r="F12" s="241">
        <f>ROUND((([1]Intro_Lists!$K$14/100)*($C12+$D12+$E12)),0)</f>
        <v>181181</v>
      </c>
      <c r="G12" s="242">
        <f>ROUND((SUMIF('[1]Design Schedule'!$A:$A,'Scheme Costs '!$A12,'[1]Design Schedule'!$BI:$BI)),0)</f>
        <v>186680</v>
      </c>
      <c r="H12" s="242">
        <f>ROUND((SUMIF('[1]Design Schedule'!$A:$A,'Scheme Costs '!$A12,'[1]Design Schedule'!$BJ:$BJ)),0)</f>
        <v>46556</v>
      </c>
      <c r="I12" s="240">
        <f>SUMIF('[1]Design Schedule'!$A:$A,'Scheme Costs '!$A12,'[1]Design Schedule'!$BE:$BE)</f>
        <v>0</v>
      </c>
      <c r="J12" s="241">
        <f>ROUND((($I12)*([1]Intro_Lists!$K$12/100)),0)</f>
        <v>0</v>
      </c>
      <c r="K12" s="241">
        <f>ROUND((([1]Intro_Lists!$K$13/100)*($I12+$J12)),0)</f>
        <v>0</v>
      </c>
      <c r="L12" s="241">
        <f>ROUND((([1]Intro_Lists!$K$14/100)*($I12+$J12+$K12)),0)</f>
        <v>0</v>
      </c>
      <c r="M12" s="242">
        <f>ROUND((SUMIF('[1]Design Schedule'!$A:$A,'Scheme Costs '!$A12,'[1]Design Schedule'!$BK:$BK)),0)</f>
        <v>0</v>
      </c>
      <c r="N12" s="243">
        <f>ROUND((SUMIF('[1]Design Schedule'!$A:$A,'Scheme Costs '!$A12,'[1]Design Schedule'!$BL:$BL)),0)</f>
        <v>0</v>
      </c>
      <c r="O12" s="241">
        <f t="shared" si="0"/>
        <v>2679180</v>
      </c>
      <c r="P12" s="249">
        <f>ROUND((SUMIF('[1]Design Schedule'!$A:$A,'Scheme Costs '!$A12,'[1]Design Schedule'!$BO:$BO)),0)</f>
        <v>0</v>
      </c>
      <c r="Q12" s="250">
        <f>ROUND((SUMIF('[1]Design Schedule'!$A:$A,'Scheme Costs '!$A12,'[1]Design Schedule'!$BP:$BP)),0)</f>
        <v>47450</v>
      </c>
      <c r="R12" s="241"/>
      <c r="S12" s="241"/>
      <c r="T12" s="241"/>
      <c r="U12" s="235">
        <f t="shared" si="1"/>
        <v>0</v>
      </c>
      <c r="V12" s="244"/>
      <c r="W12" s="246">
        <f t="shared" si="2"/>
        <v>2679180</v>
      </c>
    </row>
    <row r="13" spans="1:23" ht="15.75" thickBot="1" x14ac:dyDescent="0.3">
      <c r="A13" s="251" t="s">
        <v>91</v>
      </c>
      <c r="B13" s="252">
        <v>9172</v>
      </c>
      <c r="C13" s="253">
        <f>SUMIF('[1]Design Schedule'!$A:$A,'Scheme Costs '!$A13,'[1]Design Schedule'!$BD:$BD)</f>
        <v>2901584</v>
      </c>
      <c r="D13" s="254">
        <f>ROUND((($C13)*([1]Intro_Lists!$K$12/100)),0)</f>
        <v>435238</v>
      </c>
      <c r="E13" s="254">
        <f>ROUND((([1]Intro_Lists!$K$13/100)*($C13+$D13)),0)</f>
        <v>333682</v>
      </c>
      <c r="F13" s="254">
        <f>ROUND((([1]Intro_Lists!$K$14/100)*($C13+$D13+$E13)),0)</f>
        <v>293640</v>
      </c>
      <c r="G13" s="255">
        <f>ROUND((SUMIF('[1]Design Schedule'!$A:$A,'Scheme Costs '!$A13,'[1]Design Schedule'!$BI:$BI)),0)</f>
        <v>434731</v>
      </c>
      <c r="H13" s="255">
        <f>ROUND((SUMIF('[1]Design Schedule'!$A:$A,'Scheme Costs '!$A13,'[1]Design Schedule'!$BJ:$BJ)),0)</f>
        <v>271166</v>
      </c>
      <c r="I13" s="253">
        <f>SUMIF('[1]Design Schedule'!$A:$A,'Scheme Costs '!$A13,'[1]Design Schedule'!$BE:$BE)</f>
        <v>1724020</v>
      </c>
      <c r="J13" s="254">
        <f>ROUND((($I13)*([1]Intro_Lists!$K$12/100)),0)</f>
        <v>258603</v>
      </c>
      <c r="K13" s="254">
        <f>ROUND((([1]Intro_Lists!$K$13/100)*($I13+$J13)),0)</f>
        <v>198262</v>
      </c>
      <c r="L13" s="254">
        <f>ROUND((([1]Intro_Lists!$K$14/100)*($I13+$J13+$K13)),0)</f>
        <v>174471</v>
      </c>
      <c r="M13" s="255">
        <f>ROUND((SUMIF('[1]Design Schedule'!$A:$A,'Scheme Costs '!$A13,'[1]Design Schedule'!$BK:$BK)),0)</f>
        <v>258603</v>
      </c>
      <c r="N13" s="256">
        <f>ROUND((SUMIF('[1]Design Schedule'!$A:$A,'Scheme Costs '!$A13,'[1]Design Schedule'!$BL:$BL)),0)</f>
        <v>172402</v>
      </c>
      <c r="O13" s="254">
        <f t="shared" si="0"/>
        <v>7456402</v>
      </c>
      <c r="P13" s="257">
        <f>ROUND((SUMIF('[1]Design Schedule'!$A:$A,'Scheme Costs '!$A13,'[1]Design Schedule'!$BO:$BO)),0)</f>
        <v>11064</v>
      </c>
      <c r="Q13" s="258">
        <f>ROUND((SUMIF('[1]Design Schedule'!$A:$A,'Scheme Costs '!$A13,'[1]Design Schedule'!$BP:$BP)),0)</f>
        <v>120470</v>
      </c>
      <c r="R13" s="254"/>
      <c r="S13" s="254"/>
      <c r="T13" s="254"/>
      <c r="U13" s="259">
        <f t="shared" si="1"/>
        <v>0</v>
      </c>
      <c r="V13" s="260"/>
      <c r="W13" s="261">
        <f t="shared" si="2"/>
        <v>7456402</v>
      </c>
    </row>
    <row r="14" spans="1:23" x14ac:dyDescent="0.25">
      <c r="C14" s="262"/>
      <c r="D14" s="262"/>
      <c r="E14" s="262"/>
      <c r="F14" s="262"/>
      <c r="G14" s="262"/>
      <c r="H14" s="262"/>
      <c r="I14" s="262"/>
      <c r="J14" s="262"/>
      <c r="K14" s="262"/>
      <c r="L14" s="262"/>
      <c r="M14" s="262"/>
      <c r="N14" s="262"/>
      <c r="O14" s="262"/>
    </row>
    <row r="15" spans="1:23" ht="15.75" thickBot="1" x14ac:dyDescent="0.3">
      <c r="A15" s="229"/>
      <c r="B15" s="229"/>
      <c r="I15" s="262"/>
      <c r="K15" s="262"/>
      <c r="L15" s="262"/>
      <c r="M15" s="262"/>
      <c r="N15" s="262"/>
      <c r="O15" s="262"/>
    </row>
    <row r="16" spans="1:23" ht="77.25" customHeight="1" x14ac:dyDescent="0.25">
      <c r="A16" s="220" t="s">
        <v>532</v>
      </c>
      <c r="B16" s="221" t="s">
        <v>545</v>
      </c>
      <c r="C16" s="220" t="s">
        <v>526</v>
      </c>
      <c r="D16" s="374" t="s">
        <v>526</v>
      </c>
      <c r="E16" s="220" t="s">
        <v>527</v>
      </c>
      <c r="F16" s="374" t="s">
        <v>527</v>
      </c>
      <c r="G16" s="221" t="s">
        <v>528</v>
      </c>
      <c r="H16" s="374" t="s">
        <v>528</v>
      </c>
      <c r="I16" s="220" t="s">
        <v>529</v>
      </c>
      <c r="J16" s="374" t="s">
        <v>529</v>
      </c>
      <c r="K16" s="221" t="s">
        <v>530</v>
      </c>
      <c r="L16" s="374" t="s">
        <v>530</v>
      </c>
      <c r="M16" s="220" t="s">
        <v>531</v>
      </c>
      <c r="N16" s="374" t="s">
        <v>531</v>
      </c>
      <c r="O16" s="375" t="s">
        <v>770</v>
      </c>
      <c r="P16" s="376"/>
      <c r="Q16" s="376"/>
      <c r="R16" s="376"/>
      <c r="S16" s="376"/>
    </row>
    <row r="17" spans="1:22" s="380" customFormat="1" x14ac:dyDescent="0.25">
      <c r="A17" s="377" t="s">
        <v>748</v>
      </c>
      <c r="B17" s="378"/>
      <c r="C17" s="377" t="s">
        <v>749</v>
      </c>
      <c r="D17" s="379" t="s">
        <v>750</v>
      </c>
      <c r="E17" s="377" t="s">
        <v>751</v>
      </c>
      <c r="F17" s="379" t="s">
        <v>750</v>
      </c>
      <c r="G17" s="378" t="s">
        <v>749</v>
      </c>
      <c r="H17" s="379" t="s">
        <v>750</v>
      </c>
      <c r="I17" s="377" t="s">
        <v>751</v>
      </c>
      <c r="J17" s="379" t="s">
        <v>750</v>
      </c>
      <c r="K17" s="378" t="s">
        <v>749</v>
      </c>
      <c r="L17" s="379" t="s">
        <v>750</v>
      </c>
      <c r="M17" s="377" t="s">
        <v>751</v>
      </c>
      <c r="N17" s="379" t="s">
        <v>750</v>
      </c>
    </row>
    <row r="18" spans="1:22" x14ac:dyDescent="0.25">
      <c r="A18" s="238" t="s">
        <v>7</v>
      </c>
      <c r="B18" s="263">
        <v>1524</v>
      </c>
      <c r="C18" s="238"/>
      <c r="D18" s="381" t="s">
        <v>299</v>
      </c>
      <c r="E18" s="238"/>
      <c r="F18" s="381" t="s">
        <v>299</v>
      </c>
      <c r="H18" s="381" t="s">
        <v>299</v>
      </c>
      <c r="I18" s="238"/>
      <c r="J18" s="381" t="s">
        <v>299</v>
      </c>
      <c r="L18" s="381" t="s">
        <v>299</v>
      </c>
      <c r="M18" s="238"/>
      <c r="N18" s="381" t="s">
        <v>299</v>
      </c>
      <c r="P18" s="241"/>
      <c r="Q18" s="241"/>
      <c r="R18" s="241"/>
      <c r="T18" s="241"/>
      <c r="V18" s="241"/>
    </row>
    <row r="19" spans="1:22" x14ac:dyDescent="0.25">
      <c r="A19" s="247" t="s">
        <v>88</v>
      </c>
      <c r="B19" s="264">
        <v>4225</v>
      </c>
      <c r="C19" s="238"/>
      <c r="D19" s="381" t="s">
        <v>299</v>
      </c>
      <c r="E19" s="238"/>
      <c r="F19" s="381" t="s">
        <v>299</v>
      </c>
      <c r="H19" s="381" t="s">
        <v>299</v>
      </c>
      <c r="I19" s="238"/>
      <c r="J19" s="381" t="s">
        <v>299</v>
      </c>
      <c r="L19" s="381"/>
      <c r="M19" s="238"/>
      <c r="N19" s="381"/>
      <c r="P19" s="241"/>
      <c r="Q19" s="241"/>
      <c r="R19" s="241"/>
      <c r="T19" s="241"/>
      <c r="V19" s="241"/>
    </row>
    <row r="20" spans="1:22" x14ac:dyDescent="0.25">
      <c r="A20" s="247" t="s">
        <v>84</v>
      </c>
      <c r="B20" s="264">
        <v>5954</v>
      </c>
      <c r="C20" s="238"/>
      <c r="D20" s="381" t="s">
        <v>299</v>
      </c>
      <c r="E20" s="238"/>
      <c r="F20" s="381" t="s">
        <v>299</v>
      </c>
      <c r="H20" s="381"/>
      <c r="I20" s="238"/>
      <c r="J20" s="381"/>
      <c r="L20" s="381" t="s">
        <v>299</v>
      </c>
      <c r="M20" s="238"/>
      <c r="N20" s="381" t="s">
        <v>299</v>
      </c>
      <c r="P20" s="241"/>
      <c r="Q20" s="241"/>
      <c r="R20" s="241"/>
      <c r="T20" s="241"/>
      <c r="V20" s="241"/>
    </row>
    <row r="21" spans="1:22" x14ac:dyDescent="0.25">
      <c r="A21" s="247" t="s">
        <v>89</v>
      </c>
      <c r="B21" s="264">
        <v>4798</v>
      </c>
      <c r="C21" s="238"/>
      <c r="D21" s="381"/>
      <c r="E21" s="238"/>
      <c r="F21" s="381" t="s">
        <v>299</v>
      </c>
      <c r="H21" s="381"/>
      <c r="I21" s="238"/>
      <c r="J21" s="381" t="s">
        <v>299</v>
      </c>
      <c r="L21" s="381"/>
      <c r="M21" s="238"/>
      <c r="N21" s="381" t="s">
        <v>299</v>
      </c>
      <c r="P21" s="241"/>
      <c r="Q21" s="241"/>
      <c r="R21" s="241"/>
      <c r="T21" s="241"/>
      <c r="V21" s="241"/>
    </row>
    <row r="22" spans="1:22" x14ac:dyDescent="0.25">
      <c r="A22" s="247" t="s">
        <v>90</v>
      </c>
      <c r="B22" s="264">
        <v>3082</v>
      </c>
      <c r="C22" s="238" t="s">
        <v>299</v>
      </c>
      <c r="D22" s="381"/>
      <c r="E22" s="238"/>
      <c r="F22" s="381"/>
      <c r="G22" s="206" t="s">
        <v>299</v>
      </c>
      <c r="H22" s="381"/>
      <c r="I22" s="238"/>
      <c r="J22" s="381"/>
      <c r="K22" s="206" t="s">
        <v>299</v>
      </c>
      <c r="L22" s="381"/>
      <c r="M22" s="238"/>
      <c r="N22" s="381"/>
      <c r="P22" s="241"/>
      <c r="Q22" s="241"/>
      <c r="R22" s="241"/>
      <c r="T22" s="241"/>
      <c r="V22" s="241"/>
    </row>
    <row r="23" spans="1:22" x14ac:dyDescent="0.25">
      <c r="A23" s="247" t="s">
        <v>85</v>
      </c>
      <c r="B23" s="264">
        <v>7001</v>
      </c>
      <c r="C23" s="238"/>
      <c r="D23" s="381" t="s">
        <v>299</v>
      </c>
      <c r="E23" s="238"/>
      <c r="F23" s="381" t="s">
        <v>299</v>
      </c>
      <c r="H23" s="381" t="s">
        <v>299</v>
      </c>
      <c r="I23" s="238"/>
      <c r="J23" s="381" t="s">
        <v>299</v>
      </c>
      <c r="L23" s="381"/>
      <c r="M23" s="238"/>
      <c r="N23" s="381"/>
      <c r="O23" s="262"/>
      <c r="P23" s="241"/>
      <c r="Q23" s="241"/>
      <c r="R23" s="241"/>
      <c r="S23" s="262"/>
      <c r="T23" s="241"/>
      <c r="V23" s="241"/>
    </row>
    <row r="24" spans="1:22" x14ac:dyDescent="0.25">
      <c r="A24" s="247" t="s">
        <v>86</v>
      </c>
      <c r="B24" s="264">
        <v>6923</v>
      </c>
      <c r="C24" s="238"/>
      <c r="D24" s="381" t="s">
        <v>299</v>
      </c>
      <c r="E24" s="238"/>
      <c r="F24" s="381" t="s">
        <v>299</v>
      </c>
      <c r="H24" s="381"/>
      <c r="I24" s="238"/>
      <c r="J24" s="381"/>
      <c r="L24" s="381" t="s">
        <v>299</v>
      </c>
      <c r="M24" s="238"/>
      <c r="N24" s="381" t="s">
        <v>299</v>
      </c>
      <c r="O24" s="262"/>
      <c r="P24" s="241"/>
      <c r="Q24" s="241"/>
      <c r="R24" s="241"/>
      <c r="S24" s="262"/>
      <c r="T24" s="241"/>
      <c r="V24" s="241"/>
    </row>
    <row r="25" spans="1:22" x14ac:dyDescent="0.25">
      <c r="A25" s="247" t="s">
        <v>87</v>
      </c>
      <c r="B25" s="264">
        <v>7025</v>
      </c>
      <c r="C25" s="238"/>
      <c r="D25" s="381" t="s">
        <v>299</v>
      </c>
      <c r="E25" s="238"/>
      <c r="F25" s="381" t="s">
        <v>299</v>
      </c>
      <c r="H25" s="381" t="s">
        <v>299</v>
      </c>
      <c r="I25" s="238"/>
      <c r="J25" s="381" t="s">
        <v>299</v>
      </c>
      <c r="L25" s="381" t="s">
        <v>299</v>
      </c>
      <c r="M25" s="238"/>
      <c r="N25" s="381" t="s">
        <v>299</v>
      </c>
      <c r="O25" s="262"/>
      <c r="P25" s="241"/>
      <c r="Q25" s="241"/>
      <c r="R25" s="241"/>
      <c r="S25" s="262"/>
      <c r="T25" s="241"/>
      <c r="V25" s="241"/>
    </row>
    <row r="26" spans="1:22" ht="15.75" thickBot="1" x14ac:dyDescent="0.3">
      <c r="A26" s="251" t="s">
        <v>91</v>
      </c>
      <c r="B26" s="265">
        <v>9172</v>
      </c>
      <c r="C26" s="266"/>
      <c r="D26" s="382" t="s">
        <v>299</v>
      </c>
      <c r="E26" s="266"/>
      <c r="F26" s="382" t="s">
        <v>299</v>
      </c>
      <c r="G26" s="267"/>
      <c r="H26" s="382" t="s">
        <v>299</v>
      </c>
      <c r="I26" s="266"/>
      <c r="J26" s="382" t="s">
        <v>299</v>
      </c>
      <c r="K26" s="267"/>
      <c r="L26" s="382" t="s">
        <v>299</v>
      </c>
      <c r="M26" s="266"/>
      <c r="N26" s="382" t="s">
        <v>299</v>
      </c>
      <c r="P26" s="241"/>
      <c r="Q26" s="241"/>
      <c r="R26" s="241"/>
      <c r="T26" s="241"/>
      <c r="V26" s="241"/>
    </row>
    <row r="27" spans="1:22" ht="15.75" thickBot="1" x14ac:dyDescent="0.3">
      <c r="A27" s="247" t="s">
        <v>546</v>
      </c>
      <c r="B27" s="268"/>
      <c r="C27" s="269">
        <f>SUMIF(C18:C26,"X",$B$18:$B$26)</f>
        <v>3082</v>
      </c>
      <c r="D27" s="383">
        <f>SUMIF(D18:D26,"X",$B$18:$B$26)</f>
        <v>41824</v>
      </c>
      <c r="E27" s="269">
        <f t="shared" ref="E27:N27" si="3">SUMIF(E18:E26,"X",$B$18:$B$26)</f>
        <v>0</v>
      </c>
      <c r="F27" s="383">
        <f t="shared" si="3"/>
        <v>46622</v>
      </c>
      <c r="G27" s="270">
        <f t="shared" si="3"/>
        <v>3082</v>
      </c>
      <c r="H27" s="383">
        <f t="shared" si="3"/>
        <v>28947</v>
      </c>
      <c r="I27" s="269">
        <f t="shared" si="3"/>
        <v>0</v>
      </c>
      <c r="J27" s="383">
        <f t="shared" si="3"/>
        <v>33745</v>
      </c>
      <c r="K27" s="270">
        <f t="shared" si="3"/>
        <v>3082</v>
      </c>
      <c r="L27" s="383">
        <f t="shared" si="3"/>
        <v>30598</v>
      </c>
      <c r="M27" s="269">
        <f t="shared" si="3"/>
        <v>0</v>
      </c>
      <c r="N27" s="383">
        <f t="shared" si="3"/>
        <v>35396</v>
      </c>
      <c r="P27" s="271"/>
      <c r="Q27" s="241"/>
    </row>
    <row r="28" spans="1:22" x14ac:dyDescent="0.25">
      <c r="A28" s="272" t="s">
        <v>580</v>
      </c>
      <c r="B28" s="290"/>
      <c r="C28" s="273"/>
      <c r="D28" s="384"/>
      <c r="E28" s="207"/>
      <c r="F28" s="385"/>
      <c r="G28" s="274"/>
      <c r="H28" s="385"/>
      <c r="I28" s="207"/>
      <c r="J28" s="385"/>
      <c r="K28" s="274"/>
      <c r="L28" s="385"/>
      <c r="M28" s="207"/>
      <c r="N28" s="385"/>
      <c r="P28" s="271"/>
      <c r="Q28" s="241"/>
    </row>
    <row r="29" spans="1:22" x14ac:dyDescent="0.25">
      <c r="A29" s="275" t="s">
        <v>728</v>
      </c>
      <c r="B29" s="237"/>
      <c r="C29" s="238"/>
      <c r="D29" s="381"/>
      <c r="E29" s="238"/>
      <c r="F29" s="381"/>
      <c r="H29" s="381"/>
      <c r="I29" s="238"/>
      <c r="J29" s="381"/>
      <c r="L29" s="381"/>
      <c r="M29" s="238"/>
      <c r="N29" s="381"/>
      <c r="P29" s="271"/>
      <c r="Q29" s="241"/>
    </row>
    <row r="30" spans="1:22" x14ac:dyDescent="0.25">
      <c r="A30" s="276" t="s">
        <v>716</v>
      </c>
      <c r="B30" s="281"/>
      <c r="C30" s="277">
        <f>SUMIF(C18:C26,"X",$C$5:$C$13)</f>
        <v>1279226</v>
      </c>
      <c r="D30" s="386">
        <f>SUMIF(D18:D26,"X",$C$5:$C$13)</f>
        <v>9578116</v>
      </c>
      <c r="E30" s="277">
        <f t="shared" ref="E30:N30" si="4">SUMIF(E18:E26,"X",$C$5:$C$13)</f>
        <v>0</v>
      </c>
      <c r="F30" s="386">
        <f t="shared" si="4"/>
        <v>11981721</v>
      </c>
      <c r="G30" s="278">
        <f t="shared" si="4"/>
        <v>1279226</v>
      </c>
      <c r="H30" s="386">
        <f t="shared" si="4"/>
        <v>9025756</v>
      </c>
      <c r="I30" s="277">
        <f t="shared" si="4"/>
        <v>0</v>
      </c>
      <c r="J30" s="386">
        <f t="shared" si="4"/>
        <v>11429361</v>
      </c>
      <c r="K30" s="278">
        <f t="shared" si="4"/>
        <v>1279226</v>
      </c>
      <c r="L30" s="386">
        <f t="shared" si="4"/>
        <v>5822605</v>
      </c>
      <c r="M30" s="277">
        <f t="shared" si="4"/>
        <v>0</v>
      </c>
      <c r="N30" s="386">
        <f t="shared" si="4"/>
        <v>8226210</v>
      </c>
    </row>
    <row r="31" spans="1:22" x14ac:dyDescent="0.25">
      <c r="A31" s="279" t="s">
        <v>717</v>
      </c>
      <c r="B31" s="280" t="str">
        <f>CONCATENATE([1]Intro_Lists!$K$10, " %")</f>
        <v>15 %</v>
      </c>
      <c r="C31" s="277">
        <f t="shared" ref="C31:N31" si="5">SUMIF(C18:C26,"X",$G$5:$G$13)</f>
        <v>69506</v>
      </c>
      <c r="D31" s="386">
        <f t="shared" si="5"/>
        <v>1037667</v>
      </c>
      <c r="E31" s="277">
        <f t="shared" si="5"/>
        <v>0</v>
      </c>
      <c r="F31" s="386">
        <f t="shared" si="5"/>
        <v>1320377</v>
      </c>
      <c r="G31" s="278">
        <f t="shared" si="5"/>
        <v>69506</v>
      </c>
      <c r="H31" s="386">
        <f t="shared" si="5"/>
        <v>1029267</v>
      </c>
      <c r="I31" s="277">
        <f t="shared" si="5"/>
        <v>0</v>
      </c>
      <c r="J31" s="386">
        <f t="shared" si="5"/>
        <v>1311977</v>
      </c>
      <c r="K31" s="278">
        <f t="shared" si="5"/>
        <v>69506</v>
      </c>
      <c r="L31" s="386">
        <f t="shared" si="5"/>
        <v>687136</v>
      </c>
      <c r="M31" s="277">
        <f t="shared" si="5"/>
        <v>0</v>
      </c>
      <c r="N31" s="386">
        <f t="shared" si="5"/>
        <v>969846</v>
      </c>
    </row>
    <row r="32" spans="1:22" x14ac:dyDescent="0.25">
      <c r="A32" s="279" t="s">
        <v>718</v>
      </c>
      <c r="B32" s="280" t="str">
        <f>CONCATENATE([1]Intro_Lists!$K$11, " %")</f>
        <v>10 %</v>
      </c>
      <c r="C32" s="277">
        <f>SUMIF(C18:C26,"X",$H$5:$H$13)</f>
        <v>46338</v>
      </c>
      <c r="D32" s="386">
        <f>SUMIF(D18:D26,"X",$H$5:$H$13)</f>
        <v>593100</v>
      </c>
      <c r="E32" s="277">
        <f t="shared" ref="E32:N32" si="6">SUMIF(E18:E26,"X",$H$5:$H$13)</f>
        <v>0</v>
      </c>
      <c r="F32" s="386">
        <f t="shared" si="6"/>
        <v>777823</v>
      </c>
      <c r="G32" s="278">
        <f t="shared" si="6"/>
        <v>46338</v>
      </c>
      <c r="H32" s="386">
        <f t="shared" si="6"/>
        <v>587500</v>
      </c>
      <c r="I32" s="277">
        <f t="shared" si="6"/>
        <v>0</v>
      </c>
      <c r="J32" s="386">
        <f t="shared" si="6"/>
        <v>772223</v>
      </c>
      <c r="K32" s="278">
        <f t="shared" si="6"/>
        <v>46338</v>
      </c>
      <c r="L32" s="386">
        <f t="shared" si="6"/>
        <v>355434</v>
      </c>
      <c r="M32" s="277">
        <f t="shared" si="6"/>
        <v>0</v>
      </c>
      <c r="N32" s="386">
        <f t="shared" si="6"/>
        <v>540157</v>
      </c>
    </row>
    <row r="33" spans="1:19" x14ac:dyDescent="0.25">
      <c r="A33" s="279" t="s">
        <v>599</v>
      </c>
      <c r="B33" s="280" t="str">
        <f>CONCATENATE([1]Intro_Lists!$K$12, " %")</f>
        <v>15 %</v>
      </c>
      <c r="C33" s="277">
        <f>SUMIF(C18:C26,"X",$D$5:$D$13)</f>
        <v>191884</v>
      </c>
      <c r="D33" s="386">
        <f>SUMIF(D18:D26,"X",$D$5:$D$13)</f>
        <v>1436718</v>
      </c>
      <c r="E33" s="277">
        <f>SUMIF(E18:E26,"X",$D$5:$D$13)</f>
        <v>0</v>
      </c>
      <c r="F33" s="386">
        <f>SUMIF(F18:F26,"X",$D$5:$D$13)</f>
        <v>1797259</v>
      </c>
      <c r="G33" s="278">
        <f t="shared" ref="G33:N33" si="7">SUMIF(G18:G26,"X",$D$5:$D$13)</f>
        <v>191884</v>
      </c>
      <c r="H33" s="386">
        <f t="shared" si="7"/>
        <v>1353864</v>
      </c>
      <c r="I33" s="277">
        <f t="shared" si="7"/>
        <v>0</v>
      </c>
      <c r="J33" s="386">
        <f t="shared" si="7"/>
        <v>1714405</v>
      </c>
      <c r="K33" s="278">
        <f t="shared" si="7"/>
        <v>191884</v>
      </c>
      <c r="L33" s="386">
        <f t="shared" si="7"/>
        <v>873391</v>
      </c>
      <c r="M33" s="277">
        <f t="shared" si="7"/>
        <v>0</v>
      </c>
      <c r="N33" s="386">
        <f t="shared" si="7"/>
        <v>1233932</v>
      </c>
    </row>
    <row r="34" spans="1:19" x14ac:dyDescent="0.25">
      <c r="A34" s="279" t="s">
        <v>600</v>
      </c>
      <c r="B34" s="280" t="str">
        <f>CONCATENATE([1]Intro_Lists!$K$13, " %")</f>
        <v>10 %</v>
      </c>
      <c r="C34" s="277">
        <f>SUMIF(C18:C26,"X",$E$5:$E$13)</f>
        <v>147111</v>
      </c>
      <c r="D34" s="386">
        <f>SUMIF(D18:D26,"X",$E$5:$E$13)</f>
        <v>1101484</v>
      </c>
      <c r="E34" s="277">
        <f t="shared" ref="E34:N34" si="8">SUMIF(E18:E26,"X",$E$5:$E$13)</f>
        <v>0</v>
      </c>
      <c r="F34" s="386">
        <f t="shared" si="8"/>
        <v>1377899</v>
      </c>
      <c r="G34" s="278">
        <f t="shared" si="8"/>
        <v>147111</v>
      </c>
      <c r="H34" s="386">
        <f t="shared" si="8"/>
        <v>1037963</v>
      </c>
      <c r="I34" s="277">
        <f t="shared" si="8"/>
        <v>0</v>
      </c>
      <c r="J34" s="386">
        <f t="shared" si="8"/>
        <v>1314378</v>
      </c>
      <c r="K34" s="278">
        <f t="shared" si="8"/>
        <v>147111</v>
      </c>
      <c r="L34" s="386">
        <f t="shared" si="8"/>
        <v>669600</v>
      </c>
      <c r="M34" s="277">
        <f t="shared" si="8"/>
        <v>0</v>
      </c>
      <c r="N34" s="386">
        <f t="shared" si="8"/>
        <v>946015</v>
      </c>
    </row>
    <row r="35" spans="1:19" ht="15.75" thickBot="1" x14ac:dyDescent="0.3">
      <c r="A35" s="275" t="s">
        <v>719</v>
      </c>
      <c r="B35" s="280" t="str">
        <f>CONCATENATE([1]Intro_Lists!$K$14, " %")</f>
        <v>8 %</v>
      </c>
      <c r="C35" s="277">
        <f>SUMIF(C18:C26,"X",$F$5:$F$13)</f>
        <v>129458</v>
      </c>
      <c r="D35" s="386">
        <f>SUMIF(D18:D26,"X",$F$5:$F$13)</f>
        <v>969305</v>
      </c>
      <c r="E35" s="277">
        <f t="shared" ref="E35:N35" si="9">SUMIF(E18:E26,"X",$F$5:$F$13)</f>
        <v>0</v>
      </c>
      <c r="F35" s="386">
        <f t="shared" si="9"/>
        <v>1212550</v>
      </c>
      <c r="G35" s="278">
        <f t="shared" si="9"/>
        <v>129458</v>
      </c>
      <c r="H35" s="386">
        <f t="shared" si="9"/>
        <v>913406</v>
      </c>
      <c r="I35" s="277">
        <f t="shared" si="9"/>
        <v>0</v>
      </c>
      <c r="J35" s="386">
        <f t="shared" si="9"/>
        <v>1156651</v>
      </c>
      <c r="K35" s="278">
        <f t="shared" si="9"/>
        <v>129458</v>
      </c>
      <c r="L35" s="386">
        <f t="shared" si="9"/>
        <v>589248</v>
      </c>
      <c r="M35" s="277">
        <f t="shared" si="9"/>
        <v>0</v>
      </c>
      <c r="N35" s="386">
        <f t="shared" si="9"/>
        <v>832493</v>
      </c>
    </row>
    <row r="36" spans="1:19" ht="15.75" thickBot="1" x14ac:dyDescent="0.3">
      <c r="A36" s="387" t="s">
        <v>752</v>
      </c>
      <c r="B36" s="388"/>
      <c r="C36" s="389">
        <f>SUM(C30:C35)</f>
        <v>1863523</v>
      </c>
      <c r="D36" s="390">
        <f>SUM(D30:D35)</f>
        <v>14716390</v>
      </c>
      <c r="E36" s="389">
        <f t="shared" ref="E36:N36" si="10">SUM(E30:E35)</f>
        <v>0</v>
      </c>
      <c r="F36" s="390">
        <f t="shared" si="10"/>
        <v>18467629</v>
      </c>
      <c r="G36" s="391">
        <f t="shared" si="10"/>
        <v>1863523</v>
      </c>
      <c r="H36" s="390">
        <f t="shared" si="10"/>
        <v>13947756</v>
      </c>
      <c r="I36" s="389">
        <f t="shared" si="10"/>
        <v>0</v>
      </c>
      <c r="J36" s="390">
        <f t="shared" si="10"/>
        <v>17698995</v>
      </c>
      <c r="K36" s="391">
        <f t="shared" si="10"/>
        <v>1863523</v>
      </c>
      <c r="L36" s="390">
        <f t="shared" si="10"/>
        <v>8997414</v>
      </c>
      <c r="M36" s="389">
        <f t="shared" si="10"/>
        <v>0</v>
      </c>
      <c r="N36" s="390">
        <f t="shared" si="10"/>
        <v>12748653</v>
      </c>
      <c r="O36" s="262"/>
    </row>
    <row r="37" spans="1:19" x14ac:dyDescent="0.25">
      <c r="A37" s="275" t="s">
        <v>678</v>
      </c>
      <c r="B37" s="280"/>
      <c r="C37" s="277"/>
      <c r="D37" s="386"/>
      <c r="E37" s="277"/>
      <c r="F37" s="386"/>
      <c r="G37" s="278"/>
      <c r="H37" s="386"/>
      <c r="I37" s="277"/>
      <c r="J37" s="386"/>
      <c r="K37" s="278"/>
      <c r="L37" s="386"/>
      <c r="M37" s="277"/>
      <c r="N37" s="386"/>
    </row>
    <row r="38" spans="1:19" x14ac:dyDescent="0.25">
      <c r="A38" s="276" t="s">
        <v>716</v>
      </c>
      <c r="B38" s="281"/>
      <c r="C38" s="277">
        <f t="shared" ref="C38:N38" si="11">SUMIF(C18:C26,"X",$I$5:$I$13)</f>
        <v>0</v>
      </c>
      <c r="D38" s="386">
        <f t="shared" si="11"/>
        <v>1769020</v>
      </c>
      <c r="E38" s="277">
        <f t="shared" si="11"/>
        <v>0</v>
      </c>
      <c r="F38" s="386">
        <f t="shared" si="11"/>
        <v>1769020</v>
      </c>
      <c r="G38" s="278">
        <f t="shared" si="11"/>
        <v>0</v>
      </c>
      <c r="H38" s="386">
        <f t="shared" si="11"/>
        <v>1769020</v>
      </c>
      <c r="I38" s="277">
        <f t="shared" si="11"/>
        <v>0</v>
      </c>
      <c r="J38" s="386">
        <f t="shared" si="11"/>
        <v>1769020</v>
      </c>
      <c r="K38" s="278">
        <f t="shared" si="11"/>
        <v>0</v>
      </c>
      <c r="L38" s="386">
        <f t="shared" si="11"/>
        <v>1724020</v>
      </c>
      <c r="M38" s="277">
        <f t="shared" si="11"/>
        <v>0</v>
      </c>
      <c r="N38" s="386">
        <f t="shared" si="11"/>
        <v>1724020</v>
      </c>
    </row>
    <row r="39" spans="1:19" x14ac:dyDescent="0.25">
      <c r="A39" s="279" t="s">
        <v>717</v>
      </c>
      <c r="B39" s="280" t="str">
        <f>CONCATENATE([1]Intro_Lists!$K$10, " %")</f>
        <v>15 %</v>
      </c>
      <c r="C39" s="277">
        <f t="shared" ref="C39:N39" si="12">SUMIF(C18:C26,"X",$M$5:$M$13)</f>
        <v>0</v>
      </c>
      <c r="D39" s="386">
        <f t="shared" si="12"/>
        <v>265353</v>
      </c>
      <c r="E39" s="277">
        <f t="shared" si="12"/>
        <v>0</v>
      </c>
      <c r="F39" s="386">
        <f t="shared" si="12"/>
        <v>265353</v>
      </c>
      <c r="G39" s="278">
        <f t="shared" si="12"/>
        <v>0</v>
      </c>
      <c r="H39" s="386">
        <f t="shared" si="12"/>
        <v>265353</v>
      </c>
      <c r="I39" s="277">
        <f t="shared" si="12"/>
        <v>0</v>
      </c>
      <c r="J39" s="386">
        <f t="shared" si="12"/>
        <v>265353</v>
      </c>
      <c r="K39" s="278">
        <f t="shared" si="12"/>
        <v>0</v>
      </c>
      <c r="L39" s="386">
        <f t="shared" si="12"/>
        <v>258603</v>
      </c>
      <c r="M39" s="277">
        <f t="shared" si="12"/>
        <v>0</v>
      </c>
      <c r="N39" s="386">
        <f t="shared" si="12"/>
        <v>258603</v>
      </c>
    </row>
    <row r="40" spans="1:19" x14ac:dyDescent="0.25">
      <c r="A40" s="279" t="s">
        <v>718</v>
      </c>
      <c r="B40" s="280" t="str">
        <f>CONCATENATE([1]Intro_Lists!$K$11, " %")</f>
        <v>10 %</v>
      </c>
      <c r="C40" s="277">
        <f t="shared" ref="C40:N40" si="13">SUMIF(C18:C26,"X",$N$5:$N$13)</f>
        <v>0</v>
      </c>
      <c r="D40" s="386">
        <f t="shared" si="13"/>
        <v>176902</v>
      </c>
      <c r="E40" s="277">
        <f t="shared" si="13"/>
        <v>0</v>
      </c>
      <c r="F40" s="386">
        <f t="shared" si="13"/>
        <v>176902</v>
      </c>
      <c r="G40" s="278">
        <f t="shared" si="13"/>
        <v>0</v>
      </c>
      <c r="H40" s="386">
        <f t="shared" si="13"/>
        <v>176902</v>
      </c>
      <c r="I40" s="277">
        <f t="shared" si="13"/>
        <v>0</v>
      </c>
      <c r="J40" s="386">
        <f t="shared" si="13"/>
        <v>176902</v>
      </c>
      <c r="K40" s="278">
        <f t="shared" si="13"/>
        <v>0</v>
      </c>
      <c r="L40" s="386">
        <f t="shared" si="13"/>
        <v>172402</v>
      </c>
      <c r="M40" s="277">
        <f t="shared" si="13"/>
        <v>0</v>
      </c>
      <c r="N40" s="386">
        <f t="shared" si="13"/>
        <v>172402</v>
      </c>
    </row>
    <row r="41" spans="1:19" x14ac:dyDescent="0.25">
      <c r="A41" s="279" t="s">
        <v>599</v>
      </c>
      <c r="B41" s="280" t="str">
        <f>CONCATENATE([1]Intro_Lists!$K$12, " %")</f>
        <v>15 %</v>
      </c>
      <c r="C41" s="277">
        <f t="shared" ref="C41:N41" si="14">SUMIF(C18:C26,"X",$J$5:$J$13)</f>
        <v>0</v>
      </c>
      <c r="D41" s="386">
        <f t="shared" si="14"/>
        <v>265353</v>
      </c>
      <c r="E41" s="277">
        <f t="shared" si="14"/>
        <v>0</v>
      </c>
      <c r="F41" s="386">
        <f t="shared" si="14"/>
        <v>265353</v>
      </c>
      <c r="G41" s="278">
        <f t="shared" si="14"/>
        <v>0</v>
      </c>
      <c r="H41" s="386">
        <f t="shared" si="14"/>
        <v>265353</v>
      </c>
      <c r="I41" s="277">
        <f t="shared" si="14"/>
        <v>0</v>
      </c>
      <c r="J41" s="386">
        <f t="shared" si="14"/>
        <v>265353</v>
      </c>
      <c r="K41" s="278">
        <f t="shared" si="14"/>
        <v>0</v>
      </c>
      <c r="L41" s="386">
        <f t="shared" si="14"/>
        <v>258603</v>
      </c>
      <c r="M41" s="277">
        <f t="shared" si="14"/>
        <v>0</v>
      </c>
      <c r="N41" s="386">
        <f t="shared" si="14"/>
        <v>258603</v>
      </c>
    </row>
    <row r="42" spans="1:19" x14ac:dyDescent="0.25">
      <c r="A42" s="279" t="s">
        <v>600</v>
      </c>
      <c r="B42" s="280" t="str">
        <f>CONCATENATE([1]Intro_Lists!$K$13, " %")</f>
        <v>10 %</v>
      </c>
      <c r="C42" s="277">
        <f t="shared" ref="C42:N42" si="15">SUMIF(C18:C26,"X",$K$5:$K$13)</f>
        <v>0</v>
      </c>
      <c r="D42" s="386">
        <f t="shared" si="15"/>
        <v>203437</v>
      </c>
      <c r="E42" s="277">
        <f t="shared" si="15"/>
        <v>0</v>
      </c>
      <c r="F42" s="386">
        <f t="shared" si="15"/>
        <v>203437</v>
      </c>
      <c r="G42" s="278">
        <f t="shared" si="15"/>
        <v>0</v>
      </c>
      <c r="H42" s="386">
        <f t="shared" si="15"/>
        <v>203437</v>
      </c>
      <c r="I42" s="277">
        <f t="shared" si="15"/>
        <v>0</v>
      </c>
      <c r="J42" s="386">
        <f t="shared" si="15"/>
        <v>203437</v>
      </c>
      <c r="K42" s="278">
        <f t="shared" si="15"/>
        <v>0</v>
      </c>
      <c r="L42" s="386">
        <f t="shared" si="15"/>
        <v>198262</v>
      </c>
      <c r="M42" s="277">
        <f t="shared" si="15"/>
        <v>0</v>
      </c>
      <c r="N42" s="386">
        <f t="shared" si="15"/>
        <v>198262</v>
      </c>
    </row>
    <row r="43" spans="1:19" ht="15.75" thickBot="1" x14ac:dyDescent="0.3">
      <c r="A43" s="282" t="s">
        <v>719</v>
      </c>
      <c r="B43" s="283" t="str">
        <f>CONCATENATE([1]Intro_Lists!$K$14, " %")</f>
        <v>8 %</v>
      </c>
      <c r="C43" s="284">
        <f t="shared" ref="C43:N43" si="16">SUMIF(C18:C26,"X",$L$5:$L$13)</f>
        <v>0</v>
      </c>
      <c r="D43" s="392">
        <f t="shared" si="16"/>
        <v>179025</v>
      </c>
      <c r="E43" s="284">
        <f t="shared" si="16"/>
        <v>0</v>
      </c>
      <c r="F43" s="392">
        <f t="shared" si="16"/>
        <v>179025</v>
      </c>
      <c r="G43" s="285">
        <f t="shared" si="16"/>
        <v>0</v>
      </c>
      <c r="H43" s="392">
        <f t="shared" si="16"/>
        <v>179025</v>
      </c>
      <c r="I43" s="284">
        <f t="shared" si="16"/>
        <v>0</v>
      </c>
      <c r="J43" s="392">
        <f t="shared" si="16"/>
        <v>179025</v>
      </c>
      <c r="K43" s="285">
        <f t="shared" si="16"/>
        <v>0</v>
      </c>
      <c r="L43" s="392">
        <f t="shared" si="16"/>
        <v>174471</v>
      </c>
      <c r="M43" s="284">
        <f t="shared" si="16"/>
        <v>0</v>
      </c>
      <c r="N43" s="392">
        <f t="shared" si="16"/>
        <v>174471</v>
      </c>
    </row>
    <row r="44" spans="1:19" ht="15.75" thickBot="1" x14ac:dyDescent="0.3">
      <c r="A44" s="393" t="s">
        <v>720</v>
      </c>
      <c r="B44" s="394"/>
      <c r="C44" s="395">
        <f>SUM(C38:C43)</f>
        <v>0</v>
      </c>
      <c r="D44" s="396">
        <f>SUM(D38:D43)</f>
        <v>2859090</v>
      </c>
      <c r="E44" s="395">
        <f t="shared" ref="E44:N44" si="17">SUM(E38:E43)</f>
        <v>0</v>
      </c>
      <c r="F44" s="396">
        <f t="shared" si="17"/>
        <v>2859090</v>
      </c>
      <c r="G44" s="397">
        <f t="shared" si="17"/>
        <v>0</v>
      </c>
      <c r="H44" s="396">
        <f t="shared" si="17"/>
        <v>2859090</v>
      </c>
      <c r="I44" s="395">
        <f t="shared" si="17"/>
        <v>0</v>
      </c>
      <c r="J44" s="396">
        <f t="shared" si="17"/>
        <v>2859090</v>
      </c>
      <c r="K44" s="397">
        <f t="shared" si="17"/>
        <v>0</v>
      </c>
      <c r="L44" s="396">
        <f t="shared" si="17"/>
        <v>2786361</v>
      </c>
      <c r="M44" s="395">
        <f t="shared" si="17"/>
        <v>0</v>
      </c>
      <c r="N44" s="396">
        <f t="shared" si="17"/>
        <v>2786361</v>
      </c>
    </row>
    <row r="45" spans="1:19" x14ac:dyDescent="0.25">
      <c r="A45" s="279" t="s">
        <v>721</v>
      </c>
      <c r="B45" s="268">
        <v>0</v>
      </c>
      <c r="C45" s="240">
        <f t="shared" ref="C45:N45" si="18">SUMIF(C18:C26,"X",$R$5:$R$13)</f>
        <v>21610764</v>
      </c>
      <c r="D45" s="398">
        <f t="shared" si="18"/>
        <v>0</v>
      </c>
      <c r="E45" s="240">
        <f t="shared" si="18"/>
        <v>0</v>
      </c>
      <c r="F45" s="398">
        <f t="shared" si="18"/>
        <v>0</v>
      </c>
      <c r="G45" s="241">
        <f t="shared" si="18"/>
        <v>21610764</v>
      </c>
      <c r="H45" s="398">
        <f t="shared" si="18"/>
        <v>0</v>
      </c>
      <c r="I45" s="240">
        <f t="shared" si="18"/>
        <v>0</v>
      </c>
      <c r="J45" s="398">
        <f t="shared" si="18"/>
        <v>0</v>
      </c>
      <c r="K45" s="241">
        <f t="shared" si="18"/>
        <v>21610764</v>
      </c>
      <c r="L45" s="398">
        <f t="shared" si="18"/>
        <v>0</v>
      </c>
      <c r="M45" s="240">
        <f t="shared" si="18"/>
        <v>0</v>
      </c>
      <c r="N45" s="398">
        <f t="shared" si="18"/>
        <v>0</v>
      </c>
    </row>
    <row r="46" spans="1:19" x14ac:dyDescent="0.25">
      <c r="A46" s="399" t="s">
        <v>573</v>
      </c>
      <c r="B46" s="400">
        <v>0</v>
      </c>
      <c r="C46" s="401">
        <f t="shared" ref="C46:N46" si="19">SUMIF(C18:C26,"X",$S$5:$S$13)</f>
        <v>4123000</v>
      </c>
      <c r="D46" s="402">
        <f t="shared" si="19"/>
        <v>0</v>
      </c>
      <c r="E46" s="401">
        <f t="shared" si="19"/>
        <v>0</v>
      </c>
      <c r="F46" s="402">
        <f t="shared" si="19"/>
        <v>0</v>
      </c>
      <c r="G46" s="373">
        <f t="shared" si="19"/>
        <v>4123000</v>
      </c>
      <c r="H46" s="402">
        <f t="shared" si="19"/>
        <v>0</v>
      </c>
      <c r="I46" s="401">
        <f t="shared" si="19"/>
        <v>0</v>
      </c>
      <c r="J46" s="402">
        <f t="shared" si="19"/>
        <v>0</v>
      </c>
      <c r="K46" s="373">
        <f t="shared" si="19"/>
        <v>4123000</v>
      </c>
      <c r="L46" s="402">
        <f t="shared" si="19"/>
        <v>0</v>
      </c>
      <c r="M46" s="401">
        <f t="shared" si="19"/>
        <v>0</v>
      </c>
      <c r="N46" s="402">
        <f t="shared" si="19"/>
        <v>0</v>
      </c>
      <c r="O46" s="380" t="s">
        <v>753</v>
      </c>
    </row>
    <row r="47" spans="1:19" ht="15.75" thickBot="1" x14ac:dyDescent="0.3">
      <c r="A47" s="294" t="s">
        <v>722</v>
      </c>
      <c r="B47" s="265">
        <v>0</v>
      </c>
      <c r="C47" s="253">
        <f t="shared" ref="C47:N47" si="20">+ SUMIF(C18:C26,"X",$T$5:$T$13)</f>
        <v>648323</v>
      </c>
      <c r="D47" s="403">
        <f t="shared" si="20"/>
        <v>0</v>
      </c>
      <c r="E47" s="253">
        <f t="shared" si="20"/>
        <v>0</v>
      </c>
      <c r="F47" s="403">
        <f t="shared" si="20"/>
        <v>0</v>
      </c>
      <c r="G47" s="254">
        <f t="shared" si="20"/>
        <v>648323</v>
      </c>
      <c r="H47" s="403">
        <f t="shared" si="20"/>
        <v>0</v>
      </c>
      <c r="I47" s="253">
        <f t="shared" si="20"/>
        <v>0</v>
      </c>
      <c r="J47" s="403">
        <f t="shared" si="20"/>
        <v>0</v>
      </c>
      <c r="K47" s="254">
        <f t="shared" si="20"/>
        <v>648323</v>
      </c>
      <c r="L47" s="403">
        <f t="shared" si="20"/>
        <v>0</v>
      </c>
      <c r="M47" s="253">
        <f t="shared" si="20"/>
        <v>0</v>
      </c>
      <c r="N47" s="403">
        <f t="shared" si="20"/>
        <v>0</v>
      </c>
      <c r="O47" s="262"/>
      <c r="Q47" s="262"/>
      <c r="R47" s="262"/>
      <c r="S47" s="262"/>
    </row>
    <row r="48" spans="1:19" ht="15.75" thickBot="1" x14ac:dyDescent="0.3">
      <c r="A48" s="404" t="s">
        <v>723</v>
      </c>
      <c r="B48" s="405">
        <v>0</v>
      </c>
      <c r="C48" s="406">
        <f>SUM(C45+C47)</f>
        <v>22259087</v>
      </c>
      <c r="D48" s="407">
        <f>SUM(D45+D47)</f>
        <v>0</v>
      </c>
      <c r="E48" s="406">
        <f t="shared" ref="E48:N48" si="21">SUM(E45+E47)</f>
        <v>0</v>
      </c>
      <c r="F48" s="407">
        <f t="shared" si="21"/>
        <v>0</v>
      </c>
      <c r="G48" s="408">
        <f t="shared" si="21"/>
        <v>22259087</v>
      </c>
      <c r="H48" s="407">
        <f t="shared" si="21"/>
        <v>0</v>
      </c>
      <c r="I48" s="406">
        <f t="shared" si="21"/>
        <v>0</v>
      </c>
      <c r="J48" s="407">
        <f t="shared" si="21"/>
        <v>0</v>
      </c>
      <c r="K48" s="408">
        <f t="shared" si="21"/>
        <v>22259087</v>
      </c>
      <c r="L48" s="407">
        <f t="shared" si="21"/>
        <v>0</v>
      </c>
      <c r="M48" s="406">
        <f t="shared" si="21"/>
        <v>0</v>
      </c>
      <c r="N48" s="407">
        <f t="shared" si="21"/>
        <v>0</v>
      </c>
      <c r="O48" s="262"/>
      <c r="Q48" s="262"/>
      <c r="R48" s="262"/>
      <c r="S48" s="262"/>
    </row>
    <row r="49" spans="1:19" ht="15.75" thickBot="1" x14ac:dyDescent="0.3">
      <c r="A49" s="286" t="s">
        <v>768</v>
      </c>
      <c r="B49" s="409">
        <v>0</v>
      </c>
      <c r="C49" s="287">
        <f t="shared" ref="C49:N49" si="22">C36+C44+C48</f>
        <v>24122610</v>
      </c>
      <c r="D49" s="410">
        <f t="shared" si="22"/>
        <v>17575480</v>
      </c>
      <c r="E49" s="287">
        <f t="shared" si="22"/>
        <v>0</v>
      </c>
      <c r="F49" s="410">
        <f t="shared" si="22"/>
        <v>21326719</v>
      </c>
      <c r="G49" s="288">
        <f t="shared" si="22"/>
        <v>24122610</v>
      </c>
      <c r="H49" s="410">
        <f t="shared" si="22"/>
        <v>16806846</v>
      </c>
      <c r="I49" s="287">
        <f t="shared" si="22"/>
        <v>0</v>
      </c>
      <c r="J49" s="410">
        <f t="shared" si="22"/>
        <v>20558085</v>
      </c>
      <c r="K49" s="288">
        <f t="shared" si="22"/>
        <v>24122610</v>
      </c>
      <c r="L49" s="410">
        <f t="shared" si="22"/>
        <v>11783775</v>
      </c>
      <c r="M49" s="287">
        <f t="shared" si="22"/>
        <v>0</v>
      </c>
      <c r="N49" s="410">
        <f t="shared" si="22"/>
        <v>15535014</v>
      </c>
      <c r="O49" s="262"/>
      <c r="Q49" s="262"/>
      <c r="R49" s="262"/>
      <c r="S49" s="262"/>
    </row>
    <row r="50" spans="1:19" ht="15.75" thickBot="1" x14ac:dyDescent="0.3">
      <c r="A50" s="411" t="s">
        <v>769</v>
      </c>
      <c r="B50" s="412"/>
      <c r="C50" s="413"/>
      <c r="D50" s="414" t="str">
        <f>IF(C49+D49='[1]Scheme Costs_REF'!C$49-'[1]Scheme Costs_REF'!C$46,"Yes","No")</f>
        <v>Yes</v>
      </c>
      <c r="E50" s="413"/>
      <c r="F50" s="414" t="str">
        <f>IF(E49+F49='[1]Scheme Costs_REF'!D$49-'[1]Scheme Costs_REF'!D$46,"Yes","No")</f>
        <v>Yes</v>
      </c>
      <c r="G50" s="413"/>
      <c r="H50" s="414" t="str">
        <f>IF(G49+H49='[1]Scheme Costs_REF'!E$49-'[1]Scheme Costs_REF'!E$46,"Yes","No")</f>
        <v>Yes</v>
      </c>
      <c r="I50" s="413"/>
      <c r="J50" s="414" t="str">
        <f>IF(I49+J49='[1]Scheme Costs_REF'!F$49-'[1]Scheme Costs_REF'!F$46,"Yes","No")</f>
        <v>Yes</v>
      </c>
      <c r="K50" s="413"/>
      <c r="L50" s="414" t="str">
        <f>IF(K49+L49='[1]Scheme Costs_REF'!G$49-'[1]Scheme Costs_REF'!G$46,"Yes","No")</f>
        <v>Yes</v>
      </c>
      <c r="M50" s="413"/>
      <c r="N50" s="414" t="str">
        <f>IF(M49+N49='[1]Scheme Costs_REF'!H$49-'[1]Scheme Costs_REF'!H$46,"Yes","No")</f>
        <v>Yes</v>
      </c>
      <c r="O50" s="262"/>
      <c r="Q50" s="262"/>
      <c r="R50" s="262"/>
      <c r="S50" s="262"/>
    </row>
    <row r="51" spans="1:19" ht="15.75" thickBot="1" x14ac:dyDescent="0.3">
      <c r="A51" s="89"/>
      <c r="B51" s="268"/>
      <c r="C51" s="278"/>
      <c r="D51" s="278"/>
      <c r="E51" s="289"/>
      <c r="F51" s="289"/>
      <c r="G51" s="289"/>
      <c r="H51" s="289"/>
      <c r="I51" s="289"/>
      <c r="J51" s="289"/>
      <c r="K51" s="289"/>
      <c r="L51" s="289"/>
      <c r="M51" s="289"/>
      <c r="N51" s="289"/>
      <c r="O51" s="262"/>
      <c r="Q51" s="262"/>
      <c r="R51" s="262"/>
      <c r="S51" s="262"/>
    </row>
    <row r="52" spans="1:19" x14ac:dyDescent="0.25">
      <c r="A52" s="415" t="s">
        <v>754</v>
      </c>
      <c r="B52" s="290" t="s">
        <v>581</v>
      </c>
      <c r="C52" s="416"/>
      <c r="D52" s="291"/>
      <c r="E52" s="416"/>
      <c r="F52" s="291"/>
      <c r="G52" s="416"/>
      <c r="H52" s="291"/>
      <c r="I52" s="416"/>
      <c r="J52" s="291"/>
      <c r="K52" s="416"/>
      <c r="L52" s="291"/>
      <c r="M52" s="416"/>
      <c r="N52" s="291"/>
      <c r="O52" s="262"/>
      <c r="S52" s="262"/>
    </row>
    <row r="53" spans="1:19" x14ac:dyDescent="0.25">
      <c r="A53" s="275" t="s">
        <v>755</v>
      </c>
      <c r="B53" s="268" t="s">
        <v>726</v>
      </c>
      <c r="C53" s="417">
        <f>C36*($B$66/100)</f>
        <v>857220.58000000007</v>
      </c>
      <c r="D53" s="417">
        <f>D36*($B$66/100)</f>
        <v>6769539.4000000004</v>
      </c>
      <c r="E53" s="417">
        <f>E36*($B$66/100)</f>
        <v>0</v>
      </c>
      <c r="F53" s="417">
        <f>F36*($B$66/100)</f>
        <v>8495109.3399999999</v>
      </c>
      <c r="G53" s="417">
        <f>G36*($B$66/100)</f>
        <v>857220.58000000007</v>
      </c>
      <c r="H53" s="417">
        <f>H36*($B$66/100)</f>
        <v>6415967.7600000007</v>
      </c>
      <c r="I53" s="417">
        <f>I36*($B$66/100)</f>
        <v>0</v>
      </c>
      <c r="J53" s="417">
        <f>J36*($B$66/100)</f>
        <v>8141537.7000000002</v>
      </c>
      <c r="K53" s="417">
        <f>K36*($B$66/100)</f>
        <v>857220.58000000007</v>
      </c>
      <c r="L53" s="417">
        <f>L36*($B$66/100)</f>
        <v>4138810.4400000004</v>
      </c>
      <c r="M53" s="417">
        <f>M36*($B$66/100)</f>
        <v>0</v>
      </c>
      <c r="N53" s="418">
        <f>N36*($B$66/100)</f>
        <v>5864380.3799999999</v>
      </c>
      <c r="O53" s="262"/>
      <c r="S53" s="262"/>
    </row>
    <row r="54" spans="1:19" x14ac:dyDescent="0.25">
      <c r="A54" s="275" t="s">
        <v>756</v>
      </c>
      <c r="B54" s="264" t="s">
        <v>727</v>
      </c>
      <c r="C54" s="419">
        <f>C44*($B$67/100)</f>
        <v>0</v>
      </c>
      <c r="D54" s="419">
        <f>D44*($B$67/100)</f>
        <v>1572499.5000000002</v>
      </c>
      <c r="E54" s="419">
        <f>E44*($B$67/100)</f>
        <v>0</v>
      </c>
      <c r="F54" s="419">
        <f>F44*($B$67/100)</f>
        <v>1572499.5000000002</v>
      </c>
      <c r="G54" s="419">
        <f>G44*($B$67/100)</f>
        <v>0</v>
      </c>
      <c r="H54" s="419">
        <f>H44*($B$67/100)</f>
        <v>1572499.5000000002</v>
      </c>
      <c r="I54" s="419">
        <f>I44*($B$67/100)</f>
        <v>0</v>
      </c>
      <c r="J54" s="419">
        <f>J44*($B$67/100)</f>
        <v>1572499.5000000002</v>
      </c>
      <c r="K54" s="419">
        <f>K44*($B$67/100)</f>
        <v>0</v>
      </c>
      <c r="L54" s="419">
        <f>L44*($B$67/100)</f>
        <v>1532498.55</v>
      </c>
      <c r="M54" s="419">
        <f>M44*($B$67/100)</f>
        <v>0</v>
      </c>
      <c r="N54" s="420">
        <f>N44*($B$67/100)</f>
        <v>1532498.55</v>
      </c>
      <c r="O54" s="262"/>
      <c r="S54" s="262"/>
    </row>
    <row r="55" spans="1:19" x14ac:dyDescent="0.25">
      <c r="A55" s="228" t="s">
        <v>757</v>
      </c>
      <c r="B55" s="268" t="s">
        <v>725</v>
      </c>
      <c r="C55" s="421">
        <f>C48*($B$68/100)</f>
        <v>14690997.42</v>
      </c>
      <c r="D55" s="421">
        <f>D48*($B$68/100)</f>
        <v>0</v>
      </c>
      <c r="E55" s="421">
        <f>E48*($B$68/100)</f>
        <v>0</v>
      </c>
      <c r="F55" s="421">
        <f>F48*($B$68/100)</f>
        <v>0</v>
      </c>
      <c r="G55" s="421">
        <f>G48*($B$68/100)</f>
        <v>14690997.42</v>
      </c>
      <c r="H55" s="421">
        <f>H48*($B$68/100)</f>
        <v>0</v>
      </c>
      <c r="I55" s="421">
        <f>I48*($B$68/100)</f>
        <v>0</v>
      </c>
      <c r="J55" s="421">
        <f>J48*($B$68/100)</f>
        <v>0</v>
      </c>
      <c r="K55" s="421">
        <f>K48*($B$68/100)</f>
        <v>14690997.42</v>
      </c>
      <c r="L55" s="421">
        <f>L48*($B$68/100)</f>
        <v>0</v>
      </c>
      <c r="M55" s="421">
        <f>M48*($B$68/100)</f>
        <v>0</v>
      </c>
      <c r="N55" s="422">
        <f>N48*($B$68/100)</f>
        <v>0</v>
      </c>
      <c r="O55" s="262"/>
      <c r="S55" s="262"/>
    </row>
    <row r="56" spans="1:19" x14ac:dyDescent="0.25">
      <c r="A56" s="423" t="s">
        <v>767</v>
      </c>
      <c r="B56" s="424"/>
      <c r="C56" s="425">
        <f>C49+C55+C53+C54</f>
        <v>39670828</v>
      </c>
      <c r="D56" s="425">
        <f>D49+D55+D53+D54</f>
        <v>25917518.899999999</v>
      </c>
      <c r="E56" s="425">
        <f>E49+E55+E53+E54</f>
        <v>0</v>
      </c>
      <c r="F56" s="425">
        <f>F49+F55+F53+F54</f>
        <v>31394327.84</v>
      </c>
      <c r="G56" s="425">
        <f>G49+G55+G53+G54</f>
        <v>39670828</v>
      </c>
      <c r="H56" s="425">
        <f>H49+H55+H53+H54</f>
        <v>24795313.260000002</v>
      </c>
      <c r="I56" s="425">
        <f>I49+I55+I53+I54</f>
        <v>0</v>
      </c>
      <c r="J56" s="425">
        <f>J49+J55+J53+J54</f>
        <v>30272122.199999999</v>
      </c>
      <c r="K56" s="425">
        <f>K49+K55+K53+K54</f>
        <v>39670828</v>
      </c>
      <c r="L56" s="425">
        <f>L49+L55+L53+L54</f>
        <v>17455083.990000002</v>
      </c>
      <c r="M56" s="425">
        <f>M49+M55+M53+M54</f>
        <v>0</v>
      </c>
      <c r="N56" s="426">
        <f>N49+N55+N53+N54</f>
        <v>22931892.93</v>
      </c>
      <c r="R56" s="262"/>
      <c r="S56" s="262"/>
    </row>
    <row r="57" spans="1:19" ht="15.75" thickBot="1" x14ac:dyDescent="0.3">
      <c r="A57" s="292" t="s">
        <v>583</v>
      </c>
      <c r="B57" s="427"/>
      <c r="C57" s="428">
        <f>(C56/C49)-1</f>
        <v>0.64454957403033908</v>
      </c>
      <c r="D57" s="428">
        <f>(D56/D49)-1</f>
        <v>0.47464074380898835</v>
      </c>
      <c r="E57" s="428" t="s">
        <v>758</v>
      </c>
      <c r="F57" s="428">
        <f>(F56/F49)-1</f>
        <v>0.4720655268163847</v>
      </c>
      <c r="G57" s="428">
        <f>(G56/G49)-1</f>
        <v>0.64454957403033908</v>
      </c>
      <c r="H57" s="428">
        <f>(H56/H49)-1</f>
        <v>0.47531031461822182</v>
      </c>
      <c r="I57" s="428" t="s">
        <v>758</v>
      </c>
      <c r="J57" s="428">
        <f>(J56/J49)-1</f>
        <v>0.4725166376148362</v>
      </c>
      <c r="K57" s="428">
        <f>(K56/K49)-1</f>
        <v>0.64454957403033908</v>
      </c>
      <c r="L57" s="428">
        <f>(L56/L49)-1</f>
        <v>0.48128116753756767</v>
      </c>
      <c r="M57" s="428" t="s">
        <v>758</v>
      </c>
      <c r="N57" s="429">
        <f>(N56/N49)-1</f>
        <v>0.47614240515006934</v>
      </c>
      <c r="O57" s="430"/>
      <c r="P57" s="89"/>
      <c r="Q57" s="89"/>
      <c r="R57" s="89"/>
      <c r="S57" s="89"/>
    </row>
    <row r="58" spans="1:19" ht="15.75" thickBot="1" x14ac:dyDescent="0.3">
      <c r="A58" s="89"/>
      <c r="B58" s="431"/>
      <c r="C58" s="432"/>
      <c r="D58" s="432"/>
      <c r="E58" s="432"/>
      <c r="F58" s="432"/>
      <c r="G58" s="432"/>
      <c r="H58" s="432"/>
      <c r="I58" s="432"/>
      <c r="J58" s="432"/>
      <c r="K58" s="432"/>
      <c r="L58" s="432"/>
      <c r="M58" s="432"/>
      <c r="N58" s="432"/>
      <c r="O58" s="89"/>
      <c r="P58" s="89"/>
      <c r="Q58" s="89"/>
      <c r="R58" s="89"/>
      <c r="S58" s="89"/>
    </row>
    <row r="59" spans="1:19" x14ac:dyDescent="0.25">
      <c r="A59" s="293" t="s">
        <v>724</v>
      </c>
      <c r="B59" s="274"/>
      <c r="C59" s="416">
        <f>SUMIF(C18:C26,"X",$V$5:$V$13)</f>
        <v>24090</v>
      </c>
      <c r="D59" s="433">
        <f>SUMIF(D18:D26,"X",$V$5:$V$13)</f>
        <v>0</v>
      </c>
      <c r="E59" s="416">
        <f>SUMIF(E18:E26,"X",$V$5:$V$13)</f>
        <v>0</v>
      </c>
      <c r="F59" s="433">
        <f>SUMIF(F18:F26,"X",$V$5:$V$13)</f>
        <v>0</v>
      </c>
      <c r="G59" s="416">
        <f>SUMIF(G18:G26,"X",$V$5:$V$13)</f>
        <v>24090</v>
      </c>
      <c r="H59" s="433">
        <f>SUMIF(H18:H26,"X",$V$5:$V$13)</f>
        <v>0</v>
      </c>
      <c r="I59" s="416">
        <f>SUMIF(I18:I26,"X",$V$5:$V$13)</f>
        <v>0</v>
      </c>
      <c r="J59" s="433">
        <f>SUMIF(J18:J26,"X",$V$5:$V$13)</f>
        <v>0</v>
      </c>
      <c r="K59" s="416">
        <f>SUMIF(K18:K26,"X",$V$5:$V$13)</f>
        <v>24090</v>
      </c>
      <c r="L59" s="433">
        <f>SUMIF(L18:L26,"X",$V$5:$V$13)</f>
        <v>0</v>
      </c>
      <c r="M59" s="416">
        <f>SUMIF(M18:M26,"X",$V$5:$V$13)</f>
        <v>0</v>
      </c>
      <c r="N59" s="433">
        <f>SUMIF(N18:N26,"X",$V$5:$V$13)</f>
        <v>0</v>
      </c>
    </row>
    <row r="60" spans="1:19" x14ac:dyDescent="0.25">
      <c r="A60" s="279" t="s">
        <v>759</v>
      </c>
      <c r="C60" s="277">
        <f>SUMIF(C18:C26,"X",$P$5:$P$13)</f>
        <v>4077</v>
      </c>
      <c r="D60" s="386">
        <f>SUMIF(D18:D26,"X",$P$5:$P$13)</f>
        <v>11064</v>
      </c>
      <c r="E60" s="277">
        <f>SUMIF(E18:E26,"X",$P$5:$P$13)</f>
        <v>0</v>
      </c>
      <c r="F60" s="386">
        <f>SUMIF(F18:F26,"X",$P$5:$P$13)</f>
        <v>11064</v>
      </c>
      <c r="G60" s="277">
        <f>SUMIF(G18:G26,"X",$P$5:$P$13)</f>
        <v>4077</v>
      </c>
      <c r="H60" s="386">
        <f>SUMIF(H18:H26,"X",$P$5:$P$13)</f>
        <v>11064</v>
      </c>
      <c r="I60" s="277">
        <f>SUMIF(I18:I26,"X",$P$5:$P$13)</f>
        <v>0</v>
      </c>
      <c r="J60" s="386">
        <f>SUMIF(J18:J26,"X",$P$5:$P$13)</f>
        <v>11064</v>
      </c>
      <c r="K60" s="277">
        <f>SUMIF(K18:K26,"X",$P$5:$P$13)</f>
        <v>4077</v>
      </c>
      <c r="L60" s="386">
        <f>SUMIF(L18:L26,"X",$P$5:$P$13)</f>
        <v>11064</v>
      </c>
      <c r="M60" s="277">
        <f>SUMIF(M18:M26,"X",$P$5:$P$13)</f>
        <v>0</v>
      </c>
      <c r="N60" s="386">
        <f>SUMIF(N18:N26,"X",$P$5:$P$13)</f>
        <v>11064</v>
      </c>
    </row>
    <row r="61" spans="1:19" x14ac:dyDescent="0.25">
      <c r="A61" s="279" t="s">
        <v>729</v>
      </c>
      <c r="C61" s="277">
        <f>SUMIF(C18:C26,"X",$Q$5:$Q$13)</f>
        <v>23169</v>
      </c>
      <c r="D61" s="386">
        <f>SUMIF(D18:D26,"X",$Q$5:$Q$13)</f>
        <v>299398</v>
      </c>
      <c r="E61" s="277">
        <f>SUMIF(E18:E26,"X",$Q$5:$Q$13)</f>
        <v>0</v>
      </c>
      <c r="F61" s="386">
        <f>SUMIF(F18:F26,"X",$Q$5:$Q$13)</f>
        <v>391760</v>
      </c>
      <c r="G61" s="277">
        <f>SUMIF(G18:G26,"X",$Q$5:$Q$13)</f>
        <v>23169</v>
      </c>
      <c r="H61" s="386">
        <f>SUMIF(H18:H26,"X",$Q$5:$Q$13)</f>
        <v>296598</v>
      </c>
      <c r="I61" s="277">
        <f>SUMIF(I18:I26,"X",$Q$5:$Q$13)</f>
        <v>0</v>
      </c>
      <c r="J61" s="386">
        <f>SUMIF(J18:J26,"X",$Q$5:$Q$13)</f>
        <v>388960</v>
      </c>
      <c r="K61" s="277">
        <f>SUMIF(K18:K26,"X",$Q$5:$Q$13)</f>
        <v>23169</v>
      </c>
      <c r="L61" s="386">
        <f>SUMIF(L18:L26,"X",$Q$5:$Q$13)</f>
        <v>186776</v>
      </c>
      <c r="M61" s="277">
        <f>SUMIF(M18:M26,"X",$Q$5:$Q$13)</f>
        <v>0</v>
      </c>
      <c r="N61" s="386">
        <f>SUMIF(N18:N26,"X",$Q$5:$Q$13)</f>
        <v>279138</v>
      </c>
    </row>
    <row r="62" spans="1:19" ht="15.75" thickBot="1" x14ac:dyDescent="0.3">
      <c r="A62" s="294" t="s">
        <v>653</v>
      </c>
      <c r="B62" s="267"/>
      <c r="C62" s="434">
        <f>SUM(C59:C61)</f>
        <v>51336</v>
      </c>
      <c r="D62" s="435">
        <f>SUM(D59:D61)</f>
        <v>310462</v>
      </c>
      <c r="E62" s="434">
        <f t="shared" ref="E62:N62" si="23">SUM(E59:E61)</f>
        <v>0</v>
      </c>
      <c r="F62" s="435">
        <f t="shared" si="23"/>
        <v>402824</v>
      </c>
      <c r="G62" s="434">
        <f t="shared" si="23"/>
        <v>51336</v>
      </c>
      <c r="H62" s="435">
        <f t="shared" si="23"/>
        <v>307662</v>
      </c>
      <c r="I62" s="434">
        <f t="shared" si="23"/>
        <v>0</v>
      </c>
      <c r="J62" s="435">
        <f t="shared" si="23"/>
        <v>400024</v>
      </c>
      <c r="K62" s="434">
        <f t="shared" si="23"/>
        <v>51336</v>
      </c>
      <c r="L62" s="435">
        <f t="shared" si="23"/>
        <v>197840</v>
      </c>
      <c r="M62" s="434">
        <f t="shared" si="23"/>
        <v>0</v>
      </c>
      <c r="N62" s="435">
        <f t="shared" si="23"/>
        <v>290202</v>
      </c>
    </row>
    <row r="63" spans="1:19" x14ac:dyDescent="0.25">
      <c r="K63" s="274"/>
    </row>
    <row r="64" spans="1:19" ht="15.75" thickBot="1" x14ac:dyDescent="0.3"/>
    <row r="65" spans="1:3" x14ac:dyDescent="0.25">
      <c r="A65" s="293" t="s">
        <v>760</v>
      </c>
      <c r="B65" s="436" t="s">
        <v>594</v>
      </c>
      <c r="C65" s="262"/>
    </row>
    <row r="66" spans="1:3" x14ac:dyDescent="0.25">
      <c r="A66" s="437" t="s">
        <v>761</v>
      </c>
      <c r="B66" s="438">
        <v>46</v>
      </c>
      <c r="C66" s="439" t="s">
        <v>762</v>
      </c>
    </row>
    <row r="67" spans="1:3" x14ac:dyDescent="0.25">
      <c r="A67" s="440" t="s">
        <v>763</v>
      </c>
      <c r="B67" s="441">
        <v>55</v>
      </c>
      <c r="C67" s="439" t="s">
        <v>764</v>
      </c>
    </row>
    <row r="68" spans="1:3" ht="15.75" thickBot="1" x14ac:dyDescent="0.3">
      <c r="A68" s="442" t="s">
        <v>765</v>
      </c>
      <c r="B68" s="443">
        <v>66</v>
      </c>
      <c r="C68" s="439" t="s">
        <v>766</v>
      </c>
    </row>
  </sheetData>
  <sheetProtection algorithmName="SHA-512" hashValue="+BREahgtwrhnIUSrOb7GxpRqlC4vcn6/zjvf0/gjE90mOUhHMNyxRf0FjwPadFhoZudHGXHA/zwUhpi7enDg6g==" saltValue="pXnEhdmTBynef/W579baMA==" spinCount="100000" sheet="1" formatColumns="0" formatRows="0"/>
  <mergeCells count="1">
    <mergeCell ref="O16:S16"/>
  </mergeCells>
  <conditionalFormatting sqref="D50 F50 H50 J50 L50 N50">
    <cfRule type="containsText" dxfId="0" priority="1" operator="containsText" text="No">
      <formula>NOT(ISERROR(SEARCH("No",D50)))</formula>
    </cfRule>
  </conditionalFormatting>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tint="0.79998168889431442"/>
  </sheetPr>
  <dimension ref="A1:B10"/>
  <sheetViews>
    <sheetView zoomScaleNormal="100" zoomScaleSheetLayoutView="115"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539</v>
      </c>
    </row>
    <row r="4" spans="1:2" x14ac:dyDescent="0.25">
      <c r="A4" s="4" t="s">
        <v>190</v>
      </c>
      <c r="B4" s="10">
        <v>240</v>
      </c>
    </row>
    <row r="5" spans="1:2" x14ac:dyDescent="0.25">
      <c r="A5" s="4" t="s">
        <v>191</v>
      </c>
      <c r="B5" s="6" t="s">
        <v>216</v>
      </c>
    </row>
    <row r="6" spans="1:2" ht="66" customHeight="1" x14ac:dyDescent="0.25">
      <c r="A6" s="4" t="s">
        <v>193</v>
      </c>
      <c r="B6" s="7" t="s">
        <v>540</v>
      </c>
    </row>
    <row r="7" spans="1:2" ht="61.5" customHeight="1" x14ac:dyDescent="0.25">
      <c r="A7" s="4" t="s">
        <v>195</v>
      </c>
      <c r="B7" s="8" t="s">
        <v>541</v>
      </c>
    </row>
    <row r="8" spans="1:2" ht="75" customHeight="1" x14ac:dyDescent="0.25">
      <c r="A8" s="4" t="s">
        <v>197</v>
      </c>
      <c r="B8" s="8" t="s">
        <v>543</v>
      </c>
    </row>
    <row r="9" spans="1:2" ht="66" customHeight="1" x14ac:dyDescent="0.25">
      <c r="A9" s="4" t="s">
        <v>199</v>
      </c>
      <c r="B9" s="7" t="s">
        <v>544</v>
      </c>
    </row>
    <row r="10" spans="1:2" ht="57" customHeight="1" x14ac:dyDescent="0.25">
      <c r="A10" s="9" t="s">
        <v>201</v>
      </c>
      <c r="B10" s="7" t="s">
        <v>542</v>
      </c>
    </row>
  </sheetData>
  <sheetProtection algorithmName="SHA-512" hashValue="b1Nx8htTKG/7CWsPBOJG73T3Iata2HUveZHP6z22luoWx47GSKGZM1lzGJshhCwcfGXn86kY/qbpx3aiLrX0dA==" saltValue="CTYJQDujdv+EqU04HmkR1w==" spinCount="100000" sheet="1" objects="1" scenarios="1"/>
  <pageMargins left="0.7" right="0.7" top="0.75" bottom="0.75" header="0.3" footer="0.3"/>
  <pageSetup paperSize="9" scale="8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4" tint="0.79998168889431442"/>
  </sheetPr>
  <dimension ref="A1:B17"/>
  <sheetViews>
    <sheetView zoomScaleNormal="100" zoomScaleSheetLayoutView="85" workbookViewId="0">
      <selection activeCell="A18" sqref="A18:XFD1048576"/>
    </sheetView>
  </sheetViews>
  <sheetFormatPr defaultColWidth="0" defaultRowHeight="12.75" zeroHeight="1" x14ac:dyDescent="0.25"/>
  <cols>
    <col min="1" max="1" width="21.5703125" style="3" customWidth="1"/>
    <col min="2" max="2" width="150.7109375" style="3" customWidth="1"/>
    <col min="3" max="16384" width="9.140625" style="3" hidden="1"/>
  </cols>
  <sheetData>
    <row r="1" spans="1:2" ht="25.5" x14ac:dyDescent="0.25">
      <c r="A1" s="1" t="s">
        <v>186</v>
      </c>
      <c r="B1" s="2" t="s">
        <v>187</v>
      </c>
    </row>
    <row r="2" spans="1:2" x14ac:dyDescent="0.25"/>
    <row r="3" spans="1:2" ht="20.100000000000001" customHeight="1" x14ac:dyDescent="0.25">
      <c r="A3" s="4" t="s">
        <v>188</v>
      </c>
      <c r="B3" s="5" t="s">
        <v>562</v>
      </c>
    </row>
    <row r="4" spans="1:2" ht="20.100000000000001" customHeight="1" x14ac:dyDescent="0.25">
      <c r="A4" s="4" t="s">
        <v>190</v>
      </c>
      <c r="B4" s="11">
        <v>9.35</v>
      </c>
    </row>
    <row r="5" spans="1:2" ht="20.100000000000001" customHeight="1" x14ac:dyDescent="0.25">
      <c r="A5" s="4" t="s">
        <v>191</v>
      </c>
      <c r="B5" s="6" t="s">
        <v>629</v>
      </c>
    </row>
    <row r="6" spans="1:2" ht="20.100000000000001" customHeight="1" x14ac:dyDescent="0.25">
      <c r="A6" s="4" t="s">
        <v>630</v>
      </c>
      <c r="B6" s="8" t="s">
        <v>631</v>
      </c>
    </row>
    <row r="7" spans="1:2" ht="51.75" customHeight="1" x14ac:dyDescent="0.25">
      <c r="A7" s="4" t="s">
        <v>632</v>
      </c>
      <c r="B7" s="8" t="s">
        <v>633</v>
      </c>
    </row>
    <row r="8" spans="1:2" ht="48.75" customHeight="1" x14ac:dyDescent="0.25">
      <c r="A8" s="4" t="s">
        <v>195</v>
      </c>
      <c r="B8" s="8" t="s">
        <v>634</v>
      </c>
    </row>
    <row r="9" spans="1:2" ht="48.75" customHeight="1" x14ac:dyDescent="0.25">
      <c r="A9" s="4" t="s">
        <v>635</v>
      </c>
      <c r="B9" s="8" t="s">
        <v>636</v>
      </c>
    </row>
    <row r="10" spans="1:2" x14ac:dyDescent="0.25">
      <c r="A10" s="12"/>
      <c r="B10" s="8"/>
    </row>
    <row r="11" spans="1:2" ht="20.100000000000001" customHeight="1" x14ac:dyDescent="0.25">
      <c r="A11" s="4" t="s">
        <v>188</v>
      </c>
      <c r="B11" s="5" t="s">
        <v>637</v>
      </c>
    </row>
    <row r="12" spans="1:2" ht="20.100000000000001" customHeight="1" x14ac:dyDescent="0.25">
      <c r="A12" s="4" t="s">
        <v>190</v>
      </c>
      <c r="B12" s="11" t="s">
        <v>638</v>
      </c>
    </row>
    <row r="13" spans="1:2" ht="20.100000000000001" customHeight="1" x14ac:dyDescent="0.25">
      <c r="A13" s="4" t="s">
        <v>191</v>
      </c>
      <c r="B13" s="6" t="s">
        <v>639</v>
      </c>
    </row>
    <row r="14" spans="1:2" ht="20.100000000000001" customHeight="1" x14ac:dyDescent="0.25">
      <c r="A14" s="4" t="s">
        <v>630</v>
      </c>
      <c r="B14" s="8" t="s">
        <v>640</v>
      </c>
    </row>
    <row r="15" spans="1:2" ht="85.5" customHeight="1" x14ac:dyDescent="0.25">
      <c r="A15" s="4" t="s">
        <v>632</v>
      </c>
      <c r="B15" s="8" t="s">
        <v>641</v>
      </c>
    </row>
    <row r="16" spans="1:2" ht="48.75" customHeight="1" x14ac:dyDescent="0.25">
      <c r="A16" s="4" t="s">
        <v>195</v>
      </c>
      <c r="B16" s="8" t="s">
        <v>642</v>
      </c>
    </row>
    <row r="17" spans="1:2" ht="48.75" customHeight="1" x14ac:dyDescent="0.25">
      <c r="A17" s="4" t="s">
        <v>635</v>
      </c>
      <c r="B17" s="8" t="s">
        <v>643</v>
      </c>
    </row>
  </sheetData>
  <sheetProtection algorithmName="SHA-512" hashValue="bfTyki9i2PJ6ohl0wD9NWPKvRHYNldB0AiEeqTHNc/HFrj2yfL5i59EUOeJ3tDOmM9Aic/GHfQMBbX2TnloXxA==" saltValue="xUKNAsQtXL2jjXkd/F927A==" spinCount="100000" sheet="1" objects="1" scenarios="1"/>
  <pageMargins left="0.7" right="0.7" top="0.75" bottom="0.75" header="0.3" footer="0.3"/>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B10"/>
  <sheetViews>
    <sheetView zoomScaleNormal="100" zoomScaleSheetLayoutView="130"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313</v>
      </c>
    </row>
    <row r="4" spans="1:2" x14ac:dyDescent="0.25">
      <c r="A4" s="4" t="s">
        <v>190</v>
      </c>
      <c r="B4" s="10">
        <v>10950</v>
      </c>
    </row>
    <row r="5" spans="1:2" x14ac:dyDescent="0.25">
      <c r="A5" s="4" t="s">
        <v>191</v>
      </c>
      <c r="B5" s="6" t="s">
        <v>192</v>
      </c>
    </row>
    <row r="6" spans="1:2" ht="25.5" x14ac:dyDescent="0.25">
      <c r="A6" s="4" t="s">
        <v>193</v>
      </c>
      <c r="B6" s="7" t="s">
        <v>437</v>
      </c>
    </row>
    <row r="7" spans="1:2" ht="38.25" x14ac:dyDescent="0.25">
      <c r="A7" s="4" t="s">
        <v>195</v>
      </c>
      <c r="B7" s="8" t="s">
        <v>435</v>
      </c>
    </row>
    <row r="8" spans="1:2" ht="51" x14ac:dyDescent="0.25">
      <c r="A8" s="4" t="s">
        <v>197</v>
      </c>
      <c r="B8" s="8" t="s">
        <v>436</v>
      </c>
    </row>
    <row r="9" spans="1:2" ht="25.5" x14ac:dyDescent="0.25">
      <c r="A9" s="4" t="s">
        <v>199</v>
      </c>
      <c r="B9" s="7" t="s">
        <v>434</v>
      </c>
    </row>
    <row r="10" spans="1:2" ht="63.75" x14ac:dyDescent="0.25">
      <c r="A10" s="9" t="s">
        <v>201</v>
      </c>
      <c r="B10" s="7" t="s">
        <v>438</v>
      </c>
    </row>
  </sheetData>
  <sheetProtection algorithmName="SHA-512" hashValue="4NQiBy9EI/H2tq84sCz1EdJavXVJbz0ivj4UA/YtQtL3M8BfOApIpEyDBy6d8VzhfwKyFmxWFNsbHYGl7DNiiw==" saltValue="pQ2a9BjLTSn6WnwOn12FBg==" spinCount="100000" sheet="1" objects="1" scenarios="1"/>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1:B10"/>
  <sheetViews>
    <sheetView zoomScaleNormal="100" zoomScaleSheetLayoutView="130"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189</v>
      </c>
    </row>
    <row r="4" spans="1:2" x14ac:dyDescent="0.25">
      <c r="A4" s="4" t="s">
        <v>190</v>
      </c>
      <c r="B4" s="10">
        <v>96500</v>
      </c>
    </row>
    <row r="5" spans="1:2" x14ac:dyDescent="0.25">
      <c r="A5" s="4" t="s">
        <v>191</v>
      </c>
      <c r="B5" s="6" t="s">
        <v>192</v>
      </c>
    </row>
    <row r="6" spans="1:2" x14ac:dyDescent="0.25">
      <c r="A6" s="4" t="s">
        <v>193</v>
      </c>
      <c r="B6" s="7" t="s">
        <v>194</v>
      </c>
    </row>
    <row r="7" spans="1:2" ht="38.25" x14ac:dyDescent="0.25">
      <c r="A7" s="4" t="s">
        <v>195</v>
      </c>
      <c r="B7" s="8" t="s">
        <v>196</v>
      </c>
    </row>
    <row r="8" spans="1:2" ht="38.25" x14ac:dyDescent="0.25">
      <c r="A8" s="4" t="s">
        <v>197</v>
      </c>
      <c r="B8" s="8" t="s">
        <v>198</v>
      </c>
    </row>
    <row r="9" spans="1:2" ht="25.5" x14ac:dyDescent="0.25">
      <c r="A9" s="4" t="s">
        <v>199</v>
      </c>
      <c r="B9" s="7" t="s">
        <v>200</v>
      </c>
    </row>
    <row r="10" spans="1:2" ht="51" x14ac:dyDescent="0.25">
      <c r="A10" s="9" t="s">
        <v>201</v>
      </c>
      <c r="B10" s="7" t="s">
        <v>202</v>
      </c>
    </row>
  </sheetData>
  <sheetProtection algorithmName="SHA-512" hashValue="m/kuMoiLrbQQ0J5GzeueYXBYGUDyPlbYljirTCK36bOeWyplbtfF/wGgKxRd58jc31CnmVqW96us+fV+ZGU2Iw==" saltValue="Sd+ORSPWK1WTdUIWtKTJrA==" spinCount="100000" sheet="1" objects="1" scenarios="1"/>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B10"/>
  <sheetViews>
    <sheetView zoomScaleNormal="100" zoomScaleSheetLayoutView="130" workbookViewId="0">
      <selection activeCell="C1" sqref="C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203</v>
      </c>
    </row>
    <row r="4" spans="1:2" x14ac:dyDescent="0.25">
      <c r="A4" s="4" t="s">
        <v>190</v>
      </c>
      <c r="B4" s="10">
        <v>160000</v>
      </c>
    </row>
    <row r="5" spans="1:2" x14ac:dyDescent="0.25">
      <c r="A5" s="4" t="s">
        <v>191</v>
      </c>
      <c r="B5" s="6" t="s">
        <v>192</v>
      </c>
    </row>
    <row r="6" spans="1:2" x14ac:dyDescent="0.25">
      <c r="A6" s="4" t="s">
        <v>193</v>
      </c>
      <c r="B6" s="7" t="s">
        <v>194</v>
      </c>
    </row>
    <row r="7" spans="1:2" ht="25.5" x14ac:dyDescent="0.25">
      <c r="A7" s="4" t="s">
        <v>195</v>
      </c>
      <c r="B7" s="8" t="s">
        <v>204</v>
      </c>
    </row>
    <row r="8" spans="1:2" ht="38.25" x14ac:dyDescent="0.25">
      <c r="A8" s="4" t="s">
        <v>197</v>
      </c>
      <c r="B8" s="8" t="s">
        <v>198</v>
      </c>
    </row>
    <row r="9" spans="1:2" x14ac:dyDescent="0.25">
      <c r="A9" s="4" t="s">
        <v>199</v>
      </c>
      <c r="B9" s="7" t="s">
        <v>205</v>
      </c>
    </row>
    <row r="10" spans="1:2" ht="51" x14ac:dyDescent="0.25">
      <c r="A10" s="9" t="s">
        <v>201</v>
      </c>
      <c r="B10" s="7" t="s">
        <v>202</v>
      </c>
    </row>
  </sheetData>
  <sheetProtection algorithmName="SHA-512" hashValue="KKf2X6zHXoU9yRS/3SkvtvRI4YUDjQa6HyXLL4WST5jSyGwJxuHl3YIEcTvo1zS6XfJlcMTN4B+s0W+Y5nvqUQ==" saltValue="of4qbgnTZEU1L8RTjeqO+g==" spinCount="100000" sheet="1" objects="1" scenarios="1"/>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sheetPr>
  <dimension ref="A1:B10"/>
  <sheetViews>
    <sheetView zoomScaleNormal="100" zoomScaleSheetLayoutView="115"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206</v>
      </c>
    </row>
    <row r="4" spans="1:2" x14ac:dyDescent="0.25">
      <c r="A4" s="4" t="s">
        <v>190</v>
      </c>
      <c r="B4" s="10">
        <v>28656</v>
      </c>
    </row>
    <row r="5" spans="1:2" x14ac:dyDescent="0.25">
      <c r="A5" s="4" t="s">
        <v>191</v>
      </c>
      <c r="B5" s="6" t="s">
        <v>192</v>
      </c>
    </row>
    <row r="6" spans="1:2" ht="25.5" x14ac:dyDescent="0.25">
      <c r="A6" s="4" t="s">
        <v>193</v>
      </c>
      <c r="B6" s="7" t="s">
        <v>207</v>
      </c>
    </row>
    <row r="7" spans="1:2" ht="51" x14ac:dyDescent="0.25">
      <c r="A7" s="4" t="s">
        <v>195</v>
      </c>
      <c r="B7" s="8" t="s">
        <v>208</v>
      </c>
    </row>
    <row r="8" spans="1:2" ht="51" x14ac:dyDescent="0.25">
      <c r="A8" s="4" t="s">
        <v>197</v>
      </c>
      <c r="B8" s="8" t="s">
        <v>209</v>
      </c>
    </row>
    <row r="9" spans="1:2" ht="25.5" x14ac:dyDescent="0.25">
      <c r="A9" s="4" t="s">
        <v>199</v>
      </c>
      <c r="B9" s="7" t="s">
        <v>210</v>
      </c>
    </row>
    <row r="10" spans="1:2" ht="38.25" x14ac:dyDescent="0.25">
      <c r="A10" s="9" t="s">
        <v>201</v>
      </c>
      <c r="B10" s="7" t="s">
        <v>211</v>
      </c>
    </row>
  </sheetData>
  <sheetProtection algorithmName="SHA-512" hashValue="pPqcC/jZEHVqqy35isvjW/NWA0hbIjukfuFYsTLIDeAa0HfbXfAvsc8cuaCZzDxS1t2r2FWbKc/h/3bvlpxxog==" saltValue="ubYR80abBC4bcV26ZH1a9Q==" spinCount="100000" sheet="1" objects="1" scenarios="1"/>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sheetPr>
  <dimension ref="A1:B10"/>
  <sheetViews>
    <sheetView zoomScaleNormal="100" zoomScaleSheetLayoutView="115"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212</v>
      </c>
    </row>
    <row r="4" spans="1:2" x14ac:dyDescent="0.25">
      <c r="A4" s="4" t="s">
        <v>190</v>
      </c>
      <c r="B4" s="10">
        <v>41500</v>
      </c>
    </row>
    <row r="5" spans="1:2" x14ac:dyDescent="0.25">
      <c r="A5" s="4" t="s">
        <v>191</v>
      </c>
      <c r="B5" s="6" t="s">
        <v>192</v>
      </c>
    </row>
    <row r="6" spans="1:2" ht="25.5" x14ac:dyDescent="0.25">
      <c r="A6" s="4" t="s">
        <v>193</v>
      </c>
      <c r="B6" s="7" t="s">
        <v>207</v>
      </c>
    </row>
    <row r="7" spans="1:2" ht="51" x14ac:dyDescent="0.25">
      <c r="A7" s="4" t="s">
        <v>195</v>
      </c>
      <c r="B7" s="8" t="s">
        <v>213</v>
      </c>
    </row>
    <row r="8" spans="1:2" ht="51" x14ac:dyDescent="0.25">
      <c r="A8" s="4" t="s">
        <v>197</v>
      </c>
      <c r="B8" s="8" t="s">
        <v>209</v>
      </c>
    </row>
    <row r="9" spans="1:2" ht="25.5" x14ac:dyDescent="0.25">
      <c r="A9" s="4" t="s">
        <v>199</v>
      </c>
      <c r="B9" s="7" t="s">
        <v>214</v>
      </c>
    </row>
    <row r="10" spans="1:2" ht="38.25" x14ac:dyDescent="0.25">
      <c r="A10" s="9" t="s">
        <v>201</v>
      </c>
      <c r="B10" s="7" t="s">
        <v>211</v>
      </c>
    </row>
  </sheetData>
  <sheetProtection algorithmName="SHA-512" hashValue="PPRXhcSLVVCVVpRhvvu4M/tDxFbkQAOQIaSpEINPcnRS2Pcm589afy+csKC59mJ7s8+xoB8dwxa/2mFmRi4XZQ==" saltValue="MCUv3DQDs9Y7rwrWLRvUZg==" spinCount="100000" sheet="1" objects="1" scenarios="1"/>
  <pageMargins left="0.7" right="0.7" top="0.75" bottom="0.75" header="0.3" footer="0.3"/>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B10"/>
  <sheetViews>
    <sheetView topLeftCell="A7" zoomScaleNormal="100" zoomScaleSheetLayoutView="115" workbookViewId="0">
      <selection activeCell="A11" sqref="A11:XFD1048576"/>
    </sheetView>
  </sheetViews>
  <sheetFormatPr defaultColWidth="0" defaultRowHeight="12.75" zeroHeight="1" x14ac:dyDescent="0.25"/>
  <cols>
    <col min="1" max="1" width="21.5703125" style="3" customWidth="1"/>
    <col min="2" max="2" width="76.5703125" style="3" customWidth="1"/>
    <col min="3" max="16384" width="9.140625" style="3" hidden="1"/>
  </cols>
  <sheetData>
    <row r="1" spans="1:2" ht="25.5" x14ac:dyDescent="0.25">
      <c r="A1" s="1" t="s">
        <v>186</v>
      </c>
      <c r="B1" s="2" t="s">
        <v>187</v>
      </c>
    </row>
    <row r="2" spans="1:2" x14ac:dyDescent="0.25"/>
    <row r="3" spans="1:2" x14ac:dyDescent="0.25">
      <c r="A3" s="4" t="s">
        <v>188</v>
      </c>
      <c r="B3" s="5" t="s">
        <v>215</v>
      </c>
    </row>
    <row r="4" spans="1:2" x14ac:dyDescent="0.25">
      <c r="A4" s="4" t="s">
        <v>190</v>
      </c>
      <c r="B4" s="10">
        <v>155</v>
      </c>
    </row>
    <row r="5" spans="1:2" x14ac:dyDescent="0.25">
      <c r="A5" s="4" t="s">
        <v>191</v>
      </c>
      <c r="B5" s="6" t="s">
        <v>216</v>
      </c>
    </row>
    <row r="6" spans="1:2" ht="38.25" x14ac:dyDescent="0.25">
      <c r="A6" s="4" t="s">
        <v>193</v>
      </c>
      <c r="B6" s="7" t="s">
        <v>498</v>
      </c>
    </row>
    <row r="7" spans="1:2" ht="99.75" customHeight="1" x14ac:dyDescent="0.25">
      <c r="A7" s="4" t="s">
        <v>195</v>
      </c>
      <c r="B7" s="8" t="s">
        <v>217</v>
      </c>
    </row>
    <row r="8" spans="1:2" ht="76.5" customHeight="1" x14ac:dyDescent="0.25">
      <c r="A8" s="4" t="s">
        <v>197</v>
      </c>
      <c r="B8" s="8" t="s">
        <v>497</v>
      </c>
    </row>
    <row r="9" spans="1:2" ht="25.5" x14ac:dyDescent="0.25">
      <c r="A9" s="4" t="s">
        <v>199</v>
      </c>
      <c r="B9" s="7" t="s">
        <v>219</v>
      </c>
    </row>
    <row r="10" spans="1:2" ht="76.5" x14ac:dyDescent="0.25">
      <c r="A10" s="9" t="s">
        <v>201</v>
      </c>
      <c r="B10" s="7" t="s">
        <v>220</v>
      </c>
    </row>
  </sheetData>
  <sheetProtection algorithmName="SHA-512" hashValue="baSadjyr7EuaabMEuqqwvSVpfGlJuHHXPME9OPKKVx1NOl7zIWOEeN7If0tV88SbPZfZbkOgEiGJVhaeg/gE4w==" saltValue="XREBucCbTQokW+xZ9s5o1A==" spinCount="100000" sheet="1" objects="1" scenarios="1"/>
  <pageMargins left="0.7" right="0.7" top="0.75" bottom="0.75" header="0.3" footer="0.3"/>
  <pageSetup paperSize="9"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6829DA49C0EF4EA2CEE84F7D25F053" ma:contentTypeVersion="0" ma:contentTypeDescription="Create a new document." ma:contentTypeScope="" ma:versionID="ba43a05d14759968a7675bb8fbf09d5d">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3CB9FD-99FD-4683-AF4C-F06AA07B87A1}"/>
</file>

<file path=customXml/itemProps2.xml><?xml version="1.0" encoding="utf-8"?>
<ds:datastoreItem xmlns:ds="http://schemas.openxmlformats.org/officeDocument/2006/customXml" ds:itemID="{99CC5C6A-24F5-4D7B-9480-2222893A20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29</vt:i4>
      </vt:variant>
    </vt:vector>
  </HeadingPairs>
  <TitlesOfParts>
    <vt:vector size="60" baseType="lpstr">
      <vt:lpstr>Lists</vt:lpstr>
      <vt:lpstr>Design Schedule</vt:lpstr>
      <vt:lpstr>Scheme Costs </vt:lpstr>
      <vt:lpstr>Uncontrolled crossing</vt:lpstr>
      <vt:lpstr>Controlled Crossing</vt:lpstr>
      <vt:lpstr>Controlled Crossing (Separated)</vt:lpstr>
      <vt:lpstr>Zebra Crossing</vt:lpstr>
      <vt:lpstr>Zebra Crossing (Separated)</vt:lpstr>
      <vt:lpstr>3m Wide Shared Path</vt:lpstr>
      <vt:lpstr>4.5m Wide Shared Path</vt:lpstr>
      <vt:lpstr>5m Wide Shared Path</vt:lpstr>
      <vt:lpstr>One-way light Seperated Tracks</vt:lpstr>
      <vt:lpstr>Bi directional Kerb Separated</vt:lpstr>
      <vt:lpstr>One-way Kerb Separated</vt:lpstr>
      <vt:lpstr>Mixed Traffic Environment</vt:lpstr>
      <vt:lpstr>Trotting Strip</vt:lpstr>
      <vt:lpstr>Resurfacing</vt:lpstr>
      <vt:lpstr>Fencing</vt:lpstr>
      <vt:lpstr>Modal Filter</vt:lpstr>
      <vt:lpstr>Street Lighting</vt:lpstr>
      <vt:lpstr>Street Lighting Bollards</vt:lpstr>
      <vt:lpstr>Bus Gate</vt:lpstr>
      <vt:lpstr>Shared Path</vt:lpstr>
      <vt:lpstr>Improve Existing Traffic Free</vt:lpstr>
      <vt:lpstr>Earthworks Ramp</vt:lpstr>
      <vt:lpstr>3m Wide Shared Path on slope</vt:lpstr>
      <vt:lpstr>Wayfinding Signage</vt:lpstr>
      <vt:lpstr>Security (Tunnels)</vt:lpstr>
      <vt:lpstr>Tunnel Works</vt:lpstr>
      <vt:lpstr>4m Wide Shared Tunnel Path</vt:lpstr>
      <vt:lpstr>Maintenance</vt:lpstr>
      <vt:lpstr>'3m Wide Shared Path'!Print_Area</vt:lpstr>
      <vt:lpstr>'3m Wide Shared Path on slope'!Print_Area</vt:lpstr>
      <vt:lpstr>'4.5m Wide Shared Path'!Print_Area</vt:lpstr>
      <vt:lpstr>'4m Wide Shared Tunnel Path'!Print_Area</vt:lpstr>
      <vt:lpstr>'5m Wide Shared Path'!Print_Area</vt:lpstr>
      <vt:lpstr>'Bi directional Kerb Separated'!Print_Area</vt:lpstr>
      <vt:lpstr>'Bus Gate'!Print_Area</vt:lpstr>
      <vt:lpstr>'Controlled Crossing'!Print_Area</vt:lpstr>
      <vt:lpstr>'Controlled Crossing (Separated)'!Print_Area</vt:lpstr>
      <vt:lpstr>'Design Schedule'!Print_Area</vt:lpstr>
      <vt:lpstr>'Earthworks Ramp'!Print_Area</vt:lpstr>
      <vt:lpstr>Fencing!Print_Area</vt:lpstr>
      <vt:lpstr>'Improve Existing Traffic Free'!Print_Area</vt:lpstr>
      <vt:lpstr>Maintenance!Print_Area</vt:lpstr>
      <vt:lpstr>'Mixed Traffic Environment'!Print_Area</vt:lpstr>
      <vt:lpstr>'Modal Filter'!Print_Area</vt:lpstr>
      <vt:lpstr>'One-way Kerb Separated'!Print_Area</vt:lpstr>
      <vt:lpstr>'One-way light Seperated Tracks'!Print_Area</vt:lpstr>
      <vt:lpstr>Resurfacing!Print_Area</vt:lpstr>
      <vt:lpstr>'Security (Tunnels)'!Print_Area</vt:lpstr>
      <vt:lpstr>'Shared Path'!Print_Area</vt:lpstr>
      <vt:lpstr>'Street Lighting'!Print_Area</vt:lpstr>
      <vt:lpstr>'Street Lighting Bollards'!Print_Area</vt:lpstr>
      <vt:lpstr>'Trotting Strip'!Print_Area</vt:lpstr>
      <vt:lpstr>'Tunnel Works'!Print_Area</vt:lpstr>
      <vt:lpstr>'Uncontrolled crossing'!Print_Area</vt:lpstr>
      <vt:lpstr>'Wayfinding Signage'!Print_Area</vt:lpstr>
      <vt:lpstr>'Zebra Crossing'!Print_Area</vt:lpstr>
      <vt:lpstr>'Zebra Crossing (Separated)'!Print_Area</vt:lpstr>
    </vt:vector>
  </TitlesOfParts>
  <Company>Sustrans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Turner</dc:creator>
  <cp:lastModifiedBy>Katrina Adam</cp:lastModifiedBy>
  <cp:lastPrinted>2021-09-07T08:33:00Z</cp:lastPrinted>
  <dcterms:created xsi:type="dcterms:W3CDTF">2021-08-20T13:49:10Z</dcterms:created>
  <dcterms:modified xsi:type="dcterms:W3CDTF">2022-10-05T12:13:55Z</dcterms:modified>
  <cp:contentStatus/>
</cp:coreProperties>
</file>